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8855" windowHeight="11760" activeTab="1"/>
  </bookViews>
  <sheets>
    <sheet name="Hoja1" sheetId="1" r:id="rId1"/>
    <sheet name="Hoja2" sheetId="2" r:id="rId2"/>
    <sheet name="Hoja3" sheetId="3" r:id="rId3"/>
  </sheets>
  <definedNames>
    <definedName name="factordos">Hoja1!$G$48</definedName>
    <definedName name="factoruno">Hoja1!$G$44</definedName>
    <definedName name="TABLAC">Hoja1!$Z$5:$AH$17</definedName>
  </definedNames>
  <calcPr calcId="125725"/>
</workbook>
</file>

<file path=xl/calcChain.xml><?xml version="1.0" encoding="utf-8"?>
<calcChain xmlns="http://schemas.openxmlformats.org/spreadsheetml/2006/main">
  <c r="K25" i="2"/>
  <c r="H25"/>
  <c r="G25"/>
  <c r="M17"/>
  <c r="I17"/>
  <c r="J17" s="1"/>
  <c r="M16"/>
  <c r="O16" s="1"/>
  <c r="L16"/>
  <c r="N16" s="1"/>
  <c r="J16"/>
  <c r="I16"/>
  <c r="J14"/>
  <c r="I14"/>
  <c r="L14" s="1"/>
  <c r="N14" s="1"/>
  <c r="M12"/>
  <c r="O12" s="1"/>
  <c r="L12"/>
  <c r="N12" s="1"/>
  <c r="J12"/>
  <c r="I12"/>
  <c r="M11"/>
  <c r="L11"/>
  <c r="N11" s="1"/>
  <c r="O11" s="1"/>
  <c r="P11" s="1"/>
  <c r="L10"/>
  <c r="N10" s="1"/>
  <c r="J10"/>
  <c r="I10"/>
  <c r="M10" s="1"/>
  <c r="O9"/>
  <c r="P9" s="1"/>
  <c r="N9"/>
  <c r="M9"/>
  <c r="L9"/>
  <c r="J8"/>
  <c r="J25" s="1"/>
  <c r="I8"/>
  <c r="I25" s="1"/>
  <c r="M5"/>
  <c r="E2"/>
  <c r="E4" s="1"/>
  <c r="E5" i="1"/>
  <c r="F48"/>
  <c r="L18"/>
  <c r="L17"/>
  <c r="L26" s="1"/>
  <c r="L15"/>
  <c r="K26"/>
  <c r="F44"/>
  <c r="H26"/>
  <c r="I11"/>
  <c r="L11" s="1"/>
  <c r="L12"/>
  <c r="I13"/>
  <c r="I15"/>
  <c r="I17"/>
  <c r="I18"/>
  <c r="I9"/>
  <c r="L9" s="1"/>
  <c r="G26"/>
  <c r="AB24"/>
  <c r="AA24"/>
  <c r="Z24"/>
  <c r="L13"/>
  <c r="M6"/>
  <c r="E3"/>
  <c r="M37" s="1"/>
  <c r="Q16" i="2" l="1"/>
  <c r="P16"/>
  <c r="R16" s="1"/>
  <c r="S16" s="1"/>
  <c r="Q12"/>
  <c r="P12"/>
  <c r="R12" s="1"/>
  <c r="S12" s="1"/>
  <c r="O10"/>
  <c r="M8"/>
  <c r="M14"/>
  <c r="O14" s="1"/>
  <c r="L8"/>
  <c r="L17"/>
  <c r="N17" s="1"/>
  <c r="O17" s="1"/>
  <c r="I26" i="1"/>
  <c r="L10"/>
  <c r="F40"/>
  <c r="P17" i="2" l="1"/>
  <c r="R17" s="1"/>
  <c r="S17" s="1"/>
  <c r="Q17"/>
  <c r="M25"/>
  <c r="S14"/>
  <c r="P14"/>
  <c r="R14" s="1"/>
  <c r="Q14"/>
  <c r="L25"/>
  <c r="N8"/>
  <c r="N25" s="1"/>
  <c r="Q10"/>
  <c r="P10" s="1"/>
  <c r="R10" s="1"/>
  <c r="S10" s="1"/>
  <c r="F47" i="1"/>
  <c r="G48" s="1"/>
  <c r="F43"/>
  <c r="G44" s="1"/>
  <c r="O8" i="2" l="1"/>
  <c r="M18" i="1"/>
  <c r="M9"/>
  <c r="M15"/>
  <c r="J15"/>
  <c r="M17"/>
  <c r="J17"/>
  <c r="J18"/>
  <c r="N17"/>
  <c r="O17" s="1"/>
  <c r="N18"/>
  <c r="O18" s="1"/>
  <c r="N15"/>
  <c r="O15" s="1"/>
  <c r="J13"/>
  <c r="M12"/>
  <c r="J11"/>
  <c r="M10"/>
  <c r="M13"/>
  <c r="M11"/>
  <c r="J9"/>
  <c r="N13"/>
  <c r="N12"/>
  <c r="N10"/>
  <c r="N9"/>
  <c r="N11"/>
  <c r="O25" i="2" l="1"/>
  <c r="P8"/>
  <c r="Q8"/>
  <c r="Q25" s="1"/>
  <c r="N26" i="1"/>
  <c r="J26"/>
  <c r="M26"/>
  <c r="Q18"/>
  <c r="P18" s="1"/>
  <c r="R18" s="1"/>
  <c r="S18" s="1"/>
  <c r="Q15"/>
  <c r="P15" s="1"/>
  <c r="R15" s="1"/>
  <c r="S15" s="1"/>
  <c r="Q17"/>
  <c r="P17" s="1"/>
  <c r="R17" s="1"/>
  <c r="S17" s="1"/>
  <c r="O10"/>
  <c r="P10" s="1"/>
  <c r="O13"/>
  <c r="O12"/>
  <c r="P12" s="1"/>
  <c r="O9"/>
  <c r="O11"/>
  <c r="P25" i="2" l="1"/>
  <c r="R8"/>
  <c r="O26" i="1"/>
  <c r="Q13"/>
  <c r="P13" s="1"/>
  <c r="R13" s="1"/>
  <c r="S13" s="1"/>
  <c r="Q9"/>
  <c r="Q11"/>
  <c r="P11" s="1"/>
  <c r="R11" s="1"/>
  <c r="S11" s="1"/>
  <c r="R25" i="2" l="1"/>
  <c r="S8"/>
  <c r="S25" s="1"/>
  <c r="Q26" i="1"/>
  <c r="P9"/>
  <c r="P26" s="1"/>
  <c r="R9" l="1"/>
  <c r="R26" l="1"/>
  <c r="S9"/>
  <c r="S26" s="1"/>
</calcChain>
</file>

<file path=xl/sharedStrings.xml><?xml version="1.0" encoding="utf-8"?>
<sst xmlns="http://schemas.openxmlformats.org/spreadsheetml/2006/main" count="151" uniqueCount="70">
  <si>
    <t xml:space="preserve">renta gravable </t>
  </si>
  <si>
    <t>utilidad a repartir 10%</t>
  </si>
  <si>
    <t>cantidad a repartir 2013</t>
  </si>
  <si>
    <t>SMG</t>
  </si>
  <si>
    <t>Tarifa mensual</t>
  </si>
  <si>
    <t>Tabla - subsidio  para el empleo</t>
  </si>
  <si>
    <t>1ERA PARTE</t>
  </si>
  <si>
    <t>2DA PARTE</t>
  </si>
  <si>
    <t>TRABAJADORES</t>
  </si>
  <si>
    <t>FECHA INCIAL</t>
  </si>
  <si>
    <t>FECHA FINAL</t>
  </si>
  <si>
    <t>DÍAS TRABAJADOS</t>
  </si>
  <si>
    <t>INCIDENCIAS</t>
  </si>
  <si>
    <t>DÍAS</t>
  </si>
  <si>
    <t>IMPORTE</t>
  </si>
  <si>
    <t xml:space="preserve">SALARIO </t>
  </si>
  <si>
    <t>SALARIO</t>
  </si>
  <si>
    <t>PARTICIPACION</t>
  </si>
  <si>
    <t xml:space="preserve">TOTAL A </t>
  </si>
  <si>
    <t xml:space="preserve">PARTE </t>
  </si>
  <si>
    <t>ISR</t>
  </si>
  <si>
    <t>TOTAL A</t>
  </si>
  <si>
    <t>DEVENGADOS</t>
  </si>
  <si>
    <t>A PAGAR</t>
  </si>
  <si>
    <t>DIARIO</t>
  </si>
  <si>
    <t>ANUAL</t>
  </si>
  <si>
    <t>POR DÍAS (H)</t>
  </si>
  <si>
    <t xml:space="preserve">POR SUELDO </t>
  </si>
  <si>
    <t>RECIBIR</t>
  </si>
  <si>
    <t>GRAVADA</t>
  </si>
  <si>
    <t>EXENTA</t>
  </si>
  <si>
    <t>RETENIDO</t>
  </si>
  <si>
    <t>P</t>
  </si>
  <si>
    <t>C</t>
  </si>
  <si>
    <t>EN ADEL</t>
  </si>
  <si>
    <t>gerente general</t>
  </si>
  <si>
    <t>director general</t>
  </si>
  <si>
    <t>administrador</t>
  </si>
  <si>
    <t>FACTORES PARA EL REPARTO DE UTILIDADES</t>
  </si>
  <si>
    <t>PTU A REPARTIR</t>
  </si>
  <si>
    <t>DIVIDIR ENTRE 2</t>
  </si>
  <si>
    <t>PRIMER FACTOR</t>
  </si>
  <si>
    <t>DIAS DEVENG.</t>
  </si>
  <si>
    <t>SEGUNDO FACTOR</t>
  </si>
  <si>
    <t>SALARIO ANUAL</t>
  </si>
  <si>
    <t>Auxiliar de contador</t>
  </si>
  <si>
    <t>Almacentista</t>
  </si>
  <si>
    <t>Contador</t>
  </si>
  <si>
    <t>Eventual almacen</t>
  </si>
  <si>
    <t>Supervisor de producción</t>
  </si>
  <si>
    <t>Operadora de producción</t>
  </si>
  <si>
    <t>Administrador</t>
  </si>
  <si>
    <t>Luisa San</t>
  </si>
  <si>
    <t>Maria Sui</t>
  </si>
  <si>
    <t>Aldo Lee</t>
  </si>
  <si>
    <t>Mario Mar</t>
  </si>
  <si>
    <t>Maria Rios</t>
  </si>
  <si>
    <t>Rita Sol</t>
  </si>
  <si>
    <t>Rene Mora</t>
  </si>
  <si>
    <t>Rosa Reza</t>
  </si>
  <si>
    <t>Rito Loo</t>
  </si>
  <si>
    <t>Luis Loo</t>
  </si>
  <si>
    <t>Planta</t>
  </si>
  <si>
    <t>Utilidad a repartir</t>
  </si>
  <si>
    <t>Contadora</t>
  </si>
  <si>
    <t>Nada mas a los de confianza y los eventuales es lo de 60 dias</t>
  </si>
  <si>
    <t>por maternidad de 90 dias en el año 14</t>
  </si>
  <si>
    <t>3 dias</t>
  </si>
  <si>
    <t>7 faltas y lo corren el 25 de nov del 2013</t>
  </si>
  <si>
    <t>LSS de 15 dias a partir del 25 de diciembre del 2012</t>
  </si>
</sst>
</file>

<file path=xl/styles.xml><?xml version="1.0" encoding="utf-8"?>
<styleSheet xmlns="http://schemas.openxmlformats.org/spreadsheetml/2006/main">
  <numFmts count="10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&quot;$&quot;#,##0.00"/>
    <numFmt numFmtId="166" formatCode="_(* #,##0.00_);_(* \(#,##0.00\);_(* &quot;-&quot;??_);_(@_)"/>
    <numFmt numFmtId="167" formatCode="#,##0_ ;\-#,##0\ "/>
    <numFmt numFmtId="168" formatCode="#,##0.00_ ;\-#,##0.00\ "/>
    <numFmt numFmtId="169" formatCode="_ * #,##0.000000000_ ;_ * \-#,##0.000000000_ ;_ * &quot;-&quot;??_ ;_ @_ "/>
    <numFmt numFmtId="170" formatCode="_ * #,##0.000_ ;_ * \-#,##0.00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164" fontId="1" fillId="0" borderId="0" xfId="1" applyNumberFormat="1" applyFont="1"/>
    <xf numFmtId="43" fontId="4" fillId="0" borderId="0" xfId="1" applyNumberFormat="1" applyFont="1"/>
    <xf numFmtId="165" fontId="0" fillId="0" borderId="0" xfId="0" applyNumberFormat="1"/>
    <xf numFmtId="165" fontId="0" fillId="0" borderId="1" xfId="0" applyNumberFormat="1" applyBorder="1"/>
    <xf numFmtId="165" fontId="0" fillId="2" borderId="0" xfId="0" applyNumberFormat="1" applyFill="1"/>
    <xf numFmtId="0" fontId="3" fillId="3" borderId="0" xfId="0" applyFont="1" applyFill="1"/>
    <xf numFmtId="0" fontId="0" fillId="3" borderId="0" xfId="0" applyFill="1"/>
    <xf numFmtId="166" fontId="1" fillId="0" borderId="2" xfId="1" applyNumberFormat="1" applyFont="1" applyBorder="1"/>
    <xf numFmtId="166" fontId="5" fillId="0" borderId="2" xfId="3" applyNumberFormat="1" applyBorder="1" applyAlignment="1" applyProtection="1"/>
    <xf numFmtId="166" fontId="1" fillId="0" borderId="0" xfId="1" applyNumberFormat="1" applyFont="1"/>
    <xf numFmtId="43" fontId="0" fillId="0" borderId="0" xfId="0" applyNumberFormat="1"/>
    <xf numFmtId="0" fontId="0" fillId="0" borderId="2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Border="1"/>
    <xf numFmtId="0" fontId="7" fillId="0" borderId="2" xfId="0" applyFont="1" applyBorder="1" applyAlignment="1">
      <alignment horizontal="right" vertical="top" wrapText="1"/>
    </xf>
    <xf numFmtId="10" fontId="7" fillId="0" borderId="2" xfId="1" applyNumberFormat="1" applyFont="1" applyBorder="1" applyAlignment="1">
      <alignment horizontal="right" vertical="top" wrapText="1"/>
    </xf>
    <xf numFmtId="166" fontId="1" fillId="0" borderId="0" xfId="1" applyNumberFormat="1" applyFont="1" applyProtection="1">
      <protection locked="0"/>
    </xf>
    <xf numFmtId="0" fontId="8" fillId="0" borderId="2" xfId="0" applyFont="1" applyBorder="1" applyAlignment="1">
      <alignment horizontal="right" vertical="top" wrapText="1"/>
    </xf>
    <xf numFmtId="4" fontId="8" fillId="0" borderId="2" xfId="0" applyNumberFormat="1" applyFont="1" applyBorder="1" applyAlignment="1">
      <alignment horizontal="right" vertical="top" wrapText="1"/>
    </xf>
    <xf numFmtId="0" fontId="4" fillId="0" borderId="10" xfId="0" applyFont="1" applyFill="1" applyBorder="1"/>
    <xf numFmtId="0" fontId="4" fillId="2" borderId="2" xfId="0" applyFont="1" applyFill="1" applyBorder="1"/>
    <xf numFmtId="14" fontId="0" fillId="0" borderId="2" xfId="0" applyNumberFormat="1" applyFill="1" applyBorder="1"/>
    <xf numFmtId="167" fontId="9" fillId="0" borderId="2" xfId="1" applyNumberFormat="1" applyFont="1" applyFill="1" applyBorder="1"/>
    <xf numFmtId="0" fontId="0" fillId="0" borderId="0" xfId="0" applyFill="1"/>
    <xf numFmtId="0" fontId="10" fillId="0" borderId="0" xfId="0" applyFont="1" applyFill="1" applyBorder="1"/>
    <xf numFmtId="4" fontId="7" fillId="0" borderId="2" xfId="0" applyNumberFormat="1" applyFont="1" applyBorder="1" applyAlignment="1">
      <alignment horizontal="right" vertical="top" wrapText="1"/>
    </xf>
    <xf numFmtId="0" fontId="4" fillId="0" borderId="2" xfId="0" applyFont="1" applyFill="1" applyBorder="1"/>
    <xf numFmtId="14" fontId="4" fillId="0" borderId="2" xfId="0" applyNumberFormat="1" applyFont="1" applyFill="1" applyBorder="1"/>
    <xf numFmtId="0" fontId="4" fillId="0" borderId="0" xfId="0" applyFont="1" applyFill="1" applyBorder="1"/>
    <xf numFmtId="0" fontId="4" fillId="7" borderId="10" xfId="0" applyFont="1" applyFill="1" applyBorder="1"/>
    <xf numFmtId="0" fontId="4" fillId="7" borderId="2" xfId="0" applyFont="1" applyFill="1" applyBorder="1"/>
    <xf numFmtId="14" fontId="4" fillId="7" borderId="2" xfId="0" applyNumberFormat="1" applyFont="1" applyFill="1" applyBorder="1"/>
    <xf numFmtId="14" fontId="0" fillId="7" borderId="2" xfId="0" applyNumberFormat="1" applyFill="1" applyBorder="1"/>
    <xf numFmtId="167" fontId="9" fillId="7" borderId="2" xfId="1" applyNumberFormat="1" applyFont="1" applyFill="1" applyBorder="1"/>
    <xf numFmtId="164" fontId="0" fillId="0" borderId="9" xfId="0" applyNumberFormat="1" applyBorder="1"/>
    <xf numFmtId="164" fontId="9" fillId="0" borderId="2" xfId="1" applyNumberFormat="1" applyFont="1" applyFill="1" applyBorder="1"/>
    <xf numFmtId="164" fontId="9" fillId="0" borderId="9" xfId="0" applyNumberFormat="1" applyFont="1" applyFill="1" applyBorder="1"/>
    <xf numFmtId="164" fontId="9" fillId="0" borderId="2" xfId="0" applyNumberFormat="1" applyFont="1" applyFill="1" applyBorder="1"/>
    <xf numFmtId="4" fontId="7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top" wrapText="1"/>
    </xf>
    <xf numFmtId="10" fontId="7" fillId="0" borderId="2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4" fillId="0" borderId="2" xfId="0" applyFont="1" applyBorder="1"/>
    <xf numFmtId="14" fontId="4" fillId="0" borderId="2" xfId="0" applyNumberFormat="1" applyFont="1" applyBorder="1"/>
    <xf numFmtId="167" fontId="1" fillId="0" borderId="2" xfId="1" applyNumberFormat="1" applyFont="1" applyBorder="1"/>
    <xf numFmtId="164" fontId="2" fillId="0" borderId="2" xfId="0" applyNumberFormat="1" applyFont="1" applyBorder="1"/>
    <xf numFmtId="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0" fontId="7" fillId="0" borderId="0" xfId="1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4" fillId="0" borderId="10" xfId="0" applyFont="1" applyBorder="1"/>
    <xf numFmtId="0" fontId="0" fillId="0" borderId="2" xfId="0" applyBorder="1"/>
    <xf numFmtId="164" fontId="1" fillId="0" borderId="2" xfId="1" applyNumberFormat="1" applyFont="1" applyBorder="1"/>
    <xf numFmtId="167" fontId="0" fillId="0" borderId="2" xfId="0" applyNumberFormat="1" applyBorder="1"/>
    <xf numFmtId="168" fontId="0" fillId="6" borderId="2" xfId="0" applyNumberFormat="1" applyFill="1" applyBorder="1"/>
    <xf numFmtId="164" fontId="0" fillId="0" borderId="2" xfId="0" applyNumberFormat="1" applyBorder="1"/>
    <xf numFmtId="164" fontId="0" fillId="6" borderId="2" xfId="0" applyNumberFormat="1" applyFill="1" applyBorder="1"/>
    <xf numFmtId="164" fontId="0" fillId="2" borderId="2" xfId="0" applyNumberFormat="1" applyFill="1" applyBorder="1"/>
    <xf numFmtId="164" fontId="0" fillId="3" borderId="2" xfId="0" applyNumberFormat="1" applyFill="1" applyBorder="1"/>
    <xf numFmtId="4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10" fontId="7" fillId="0" borderId="0" xfId="1" applyNumberFormat="1" applyFont="1" applyFill="1" applyBorder="1" applyAlignment="1">
      <alignment horizontal="right" vertical="top" wrapText="1"/>
    </xf>
    <xf numFmtId="0" fontId="3" fillId="0" borderId="0" xfId="0" applyFont="1"/>
    <xf numFmtId="167" fontId="0" fillId="0" borderId="11" xfId="0" applyNumberFormat="1" applyBorder="1"/>
    <xf numFmtId="0" fontId="0" fillId="0" borderId="6" xfId="0" applyFill="1" applyBorder="1"/>
    <xf numFmtId="0" fontId="0" fillId="0" borderId="12" xfId="0" applyFill="1" applyBorder="1"/>
    <xf numFmtId="0" fontId="3" fillId="8" borderId="10" xfId="0" applyFont="1" applyFill="1" applyBorder="1"/>
    <xf numFmtId="0" fontId="3" fillId="8" borderId="13" xfId="0" applyFont="1" applyFill="1" applyBorder="1"/>
    <xf numFmtId="164" fontId="3" fillId="2" borderId="14" xfId="1" applyNumberFormat="1" applyFont="1" applyFill="1" applyBorder="1"/>
    <xf numFmtId="0" fontId="0" fillId="0" borderId="15" xfId="0" applyFill="1" applyBorder="1"/>
    <xf numFmtId="0" fontId="0" fillId="0" borderId="0" xfId="0" applyFill="1" applyBorder="1"/>
    <xf numFmtId="0" fontId="0" fillId="0" borderId="16" xfId="0" applyFill="1" applyBorder="1"/>
    <xf numFmtId="164" fontId="3" fillId="0" borderId="0" xfId="1" applyNumberFormat="1" applyFont="1" applyFill="1" applyBorder="1"/>
    <xf numFmtId="0" fontId="0" fillId="5" borderId="6" xfId="0" applyFill="1" applyBorder="1"/>
    <xf numFmtId="0" fontId="0" fillId="0" borderId="17" xfId="0" applyFill="1" applyBorder="1"/>
    <xf numFmtId="164" fontId="0" fillId="0" borderId="0" xfId="0" applyNumberFormat="1" applyFill="1" applyBorder="1"/>
    <xf numFmtId="167" fontId="0" fillId="0" borderId="12" xfId="0" applyNumberFormat="1" applyFill="1" applyBorder="1"/>
    <xf numFmtId="169" fontId="3" fillId="0" borderId="16" xfId="0" applyNumberFormat="1" applyFont="1" applyFill="1" applyBorder="1"/>
    <xf numFmtId="169" fontId="3" fillId="0" borderId="0" xfId="0" applyNumberFormat="1" applyFont="1" applyFill="1" applyBorder="1"/>
    <xf numFmtId="0" fontId="0" fillId="0" borderId="8" xfId="0" applyFill="1" applyBorder="1"/>
    <xf numFmtId="0" fontId="0" fillId="0" borderId="18" xfId="0" applyFill="1" applyBorder="1"/>
    <xf numFmtId="0" fontId="0" fillId="0" borderId="19" xfId="0" applyFill="1" applyBorder="1"/>
    <xf numFmtId="0" fontId="0" fillId="9" borderId="6" xfId="0" applyFill="1" applyBorder="1"/>
    <xf numFmtId="164" fontId="0" fillId="0" borderId="12" xfId="0" applyNumberFormat="1" applyFill="1" applyBorder="1"/>
    <xf numFmtId="164" fontId="1" fillId="0" borderId="0" xfId="1" applyNumberFormat="1" applyFont="1" applyFill="1" applyBorder="1"/>
    <xf numFmtId="164" fontId="1" fillId="0" borderId="18" xfId="1" applyNumberFormat="1" applyFont="1" applyFill="1" applyBorder="1"/>
    <xf numFmtId="0" fontId="5" fillId="0" borderId="0" xfId="3" applyAlignment="1" applyProtection="1"/>
    <xf numFmtId="166" fontId="1" fillId="0" borderId="0" xfId="1" applyNumberFormat="1" applyFont="1" applyFill="1" applyProtection="1">
      <protection locked="0"/>
    </xf>
    <xf numFmtId="4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7" fontId="9" fillId="0" borderId="2" xfId="1" applyNumberFormat="1" applyFont="1" applyFill="1" applyBorder="1"/>
    <xf numFmtId="170" fontId="3" fillId="0" borderId="16" xfId="0" applyNumberFormat="1" applyFont="1" applyFill="1" applyBorder="1"/>
    <xf numFmtId="7" fontId="9" fillId="7" borderId="2" xfId="1" applyNumberFormat="1" applyFont="1" applyFill="1" applyBorder="1"/>
    <xf numFmtId="164" fontId="9" fillId="7" borderId="2" xfId="1" applyNumberFormat="1" applyFont="1" applyFill="1" applyBorder="1"/>
    <xf numFmtId="164" fontId="9" fillId="7" borderId="9" xfId="0" applyNumberFormat="1" applyFont="1" applyFill="1" applyBorder="1"/>
    <xf numFmtId="164" fontId="9" fillId="7" borderId="2" xfId="0" applyNumberFormat="1" applyFont="1" applyFill="1" applyBorder="1"/>
    <xf numFmtId="44" fontId="1" fillId="0" borderId="2" xfId="2" applyFont="1" applyBorder="1"/>
    <xf numFmtId="44" fontId="9" fillId="0" borderId="2" xfId="2" applyFont="1" applyFill="1" applyBorder="1"/>
    <xf numFmtId="44" fontId="4" fillId="7" borderId="2" xfId="2" applyFont="1" applyFill="1" applyBorder="1"/>
    <xf numFmtId="165" fontId="0" fillId="4" borderId="3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10" borderId="10" xfId="0" applyFont="1" applyFill="1" applyBorder="1"/>
    <xf numFmtId="0" fontId="4" fillId="10" borderId="2" xfId="0" applyFont="1" applyFill="1" applyBorder="1"/>
    <xf numFmtId="14" fontId="4" fillId="10" borderId="2" xfId="0" applyNumberFormat="1" applyFont="1" applyFill="1" applyBorder="1"/>
    <xf numFmtId="14" fontId="0" fillId="10" borderId="2" xfId="0" applyNumberFormat="1" applyFill="1" applyBorder="1"/>
    <xf numFmtId="167" fontId="9" fillId="10" borderId="2" xfId="1" applyNumberFormat="1" applyFont="1" applyFill="1" applyBorder="1"/>
    <xf numFmtId="7" fontId="9" fillId="10" borderId="2" xfId="1" applyNumberFormat="1" applyFont="1" applyFill="1" applyBorder="1"/>
    <xf numFmtId="44" fontId="9" fillId="10" borderId="2" xfId="2" applyFont="1" applyFill="1" applyBorder="1"/>
    <xf numFmtId="164" fontId="9" fillId="10" borderId="2" xfId="1" applyNumberFormat="1" applyFont="1" applyFill="1" applyBorder="1"/>
    <xf numFmtId="164" fontId="9" fillId="10" borderId="9" xfId="0" applyNumberFormat="1" applyFont="1" applyFill="1" applyBorder="1"/>
    <xf numFmtId="164" fontId="9" fillId="10" borderId="2" xfId="0" applyNumberFormat="1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H55"/>
  <sheetViews>
    <sheetView topLeftCell="L1" workbookViewId="0">
      <selection activeCell="A2" sqref="A2:S26"/>
    </sheetView>
  </sheetViews>
  <sheetFormatPr baseColWidth="10" defaultRowHeight="15"/>
  <cols>
    <col min="4" max="4" width="29.42578125" customWidth="1"/>
    <col min="6" max="6" width="12.28515625" bestFit="1" customWidth="1"/>
    <col min="7" max="7" width="13.42578125" customWidth="1"/>
    <col min="10" max="10" width="12.140625" bestFit="1" customWidth="1"/>
    <col min="11" max="11" width="11.42578125" style="1"/>
  </cols>
  <sheetData>
    <row r="2" spans="1:34">
      <c r="A2" t="s">
        <v>0</v>
      </c>
      <c r="E2" s="2">
        <v>188500</v>
      </c>
    </row>
    <row r="3" spans="1:34">
      <c r="A3" t="s">
        <v>1</v>
      </c>
      <c r="E3" s="3">
        <f>E2*0.1</f>
        <v>18850</v>
      </c>
      <c r="Z3">
        <v>1</v>
      </c>
      <c r="AA3">
        <v>2</v>
      </c>
      <c r="AB3">
        <v>3</v>
      </c>
      <c r="AC3">
        <v>4</v>
      </c>
      <c r="AD3">
        <v>5</v>
      </c>
      <c r="AE3">
        <v>6</v>
      </c>
      <c r="AF3">
        <v>7</v>
      </c>
      <c r="AG3">
        <v>8</v>
      </c>
      <c r="AH3">
        <v>9</v>
      </c>
    </row>
    <row r="4" spans="1:34" ht="15.75" thickBot="1">
      <c r="E4" s="4"/>
    </row>
    <row r="5" spans="1:34" ht="16.5" thickTop="1" thickBot="1">
      <c r="A5" t="s">
        <v>2</v>
      </c>
      <c r="E5" s="5">
        <f>E3+E4</f>
        <v>18850</v>
      </c>
      <c r="K5" s="1">
        <v>385</v>
      </c>
      <c r="P5" s="6" t="s">
        <v>3</v>
      </c>
      <c r="Q5" s="7">
        <v>63.77</v>
      </c>
      <c r="Z5" s="8" t="s">
        <v>4</v>
      </c>
      <c r="AA5" s="8"/>
      <c r="AB5" s="8"/>
      <c r="AC5" s="9"/>
      <c r="AD5" s="10"/>
      <c r="AE5" s="10"/>
      <c r="AF5" s="8" t="s">
        <v>5</v>
      </c>
      <c r="AG5" s="8"/>
      <c r="AH5" s="8"/>
    </row>
    <row r="6" spans="1:34">
      <c r="E6" s="108" t="s">
        <v>6</v>
      </c>
      <c r="F6" s="109"/>
      <c r="G6" s="109"/>
      <c r="H6" s="109"/>
      <c r="I6" s="110"/>
      <c r="J6" s="111" t="s">
        <v>7</v>
      </c>
      <c r="K6" s="112"/>
      <c r="L6" s="113"/>
      <c r="M6" s="11">
        <f>K12*1.2</f>
        <v>0</v>
      </c>
      <c r="P6" s="6"/>
      <c r="Q6" s="7"/>
      <c r="Z6" s="8"/>
      <c r="AA6" s="8"/>
      <c r="AB6" s="8"/>
      <c r="AC6" s="9"/>
      <c r="AD6" s="10"/>
      <c r="AE6" s="10"/>
      <c r="AF6" s="8"/>
      <c r="AG6" s="8"/>
      <c r="AH6" s="8"/>
    </row>
    <row r="7" spans="1:34">
      <c r="A7" s="114" t="s">
        <v>8</v>
      </c>
      <c r="B7" s="114"/>
      <c r="C7" s="114"/>
      <c r="D7" s="114"/>
      <c r="E7" s="115" t="s">
        <v>9</v>
      </c>
      <c r="F7" s="115" t="s">
        <v>10</v>
      </c>
      <c r="G7" s="115" t="s">
        <v>11</v>
      </c>
      <c r="H7" s="115" t="s">
        <v>12</v>
      </c>
      <c r="I7" s="12" t="s">
        <v>13</v>
      </c>
      <c r="J7" s="13" t="s">
        <v>14</v>
      </c>
      <c r="K7" s="14" t="s">
        <v>15</v>
      </c>
      <c r="L7" s="12" t="s">
        <v>16</v>
      </c>
      <c r="M7" s="15" t="s">
        <v>17</v>
      </c>
      <c r="N7" s="16" t="s">
        <v>17</v>
      </c>
      <c r="O7" s="16" t="s">
        <v>18</v>
      </c>
      <c r="P7" s="17" t="s">
        <v>19</v>
      </c>
      <c r="Q7" s="17" t="s">
        <v>19</v>
      </c>
      <c r="R7" s="16" t="s">
        <v>20</v>
      </c>
      <c r="S7" s="16" t="s">
        <v>21</v>
      </c>
      <c r="Z7" s="8"/>
      <c r="AA7" s="8"/>
      <c r="AB7" s="8"/>
      <c r="AC7" s="8"/>
      <c r="AD7" s="10"/>
      <c r="AE7" s="10"/>
      <c r="AF7" s="8"/>
      <c r="AG7" s="8"/>
      <c r="AH7" s="8"/>
    </row>
    <row r="8" spans="1:34">
      <c r="A8" s="114"/>
      <c r="B8" s="114"/>
      <c r="C8" s="114"/>
      <c r="D8" s="114"/>
      <c r="E8" s="115"/>
      <c r="F8" s="115"/>
      <c r="G8" s="115"/>
      <c r="H8" s="115"/>
      <c r="I8" s="12" t="s">
        <v>22</v>
      </c>
      <c r="J8" s="13" t="s">
        <v>23</v>
      </c>
      <c r="K8" s="14" t="s">
        <v>24</v>
      </c>
      <c r="L8" s="12" t="s">
        <v>25</v>
      </c>
      <c r="M8" s="18" t="s">
        <v>26</v>
      </c>
      <c r="N8" s="19" t="s">
        <v>27</v>
      </c>
      <c r="O8" s="19" t="s">
        <v>28</v>
      </c>
      <c r="P8" s="20" t="s">
        <v>29</v>
      </c>
      <c r="Q8" s="20" t="s">
        <v>30</v>
      </c>
      <c r="R8" s="19" t="s">
        <v>31</v>
      </c>
      <c r="S8" s="19" t="s">
        <v>28</v>
      </c>
      <c r="U8" s="21"/>
      <c r="Z8" s="22">
        <v>0.01</v>
      </c>
      <c r="AA8" s="22">
        <v>496.07</v>
      </c>
      <c r="AB8" s="22">
        <v>0</v>
      </c>
      <c r="AC8" s="23">
        <v>1.9199999999999998E-2</v>
      </c>
      <c r="AD8" s="24"/>
      <c r="AE8" s="24"/>
      <c r="AF8" s="25">
        <v>0.01</v>
      </c>
      <c r="AG8" s="26">
        <v>1768.96</v>
      </c>
      <c r="AH8" s="25">
        <v>407.02</v>
      </c>
    </row>
    <row r="9" spans="1:34">
      <c r="A9" s="27">
        <v>1</v>
      </c>
      <c r="B9" s="34" t="s">
        <v>33</v>
      </c>
      <c r="C9" s="34" t="s">
        <v>52</v>
      </c>
      <c r="D9" s="34" t="s">
        <v>45</v>
      </c>
      <c r="E9" s="35">
        <v>41496</v>
      </c>
      <c r="F9" s="29">
        <v>41639</v>
      </c>
      <c r="G9" s="30">
        <v>144</v>
      </c>
      <c r="H9" s="30">
        <v>0</v>
      </c>
      <c r="I9" s="30">
        <f>G9-H9</f>
        <v>144</v>
      </c>
      <c r="J9" s="99">
        <f>I9*$G$44</f>
        <v>748.18081587651602</v>
      </c>
      <c r="K9" s="106">
        <v>130</v>
      </c>
      <c r="L9" s="43">
        <f>K9*I9</f>
        <v>18720</v>
      </c>
      <c r="M9" s="44">
        <f>+factoruno*I9</f>
        <v>748.18081587651602</v>
      </c>
      <c r="N9" s="44">
        <f>+factordos*L9</f>
        <v>515.11152633422864</v>
      </c>
      <c r="O9" s="44">
        <f>+M9+N9</f>
        <v>1263.2923422107447</v>
      </c>
      <c r="P9" s="44">
        <f>+O9-Q9</f>
        <v>306.7423422107446</v>
      </c>
      <c r="Q9" s="44">
        <f>+IF(O9&gt;($Q$5*15),$Q$5*15,O9)</f>
        <v>956.55000000000007</v>
      </c>
      <c r="R9" s="44">
        <f>(((P9-(VLOOKUP(P9,TABLAC,1)))*VLOOKUP(P9,TABLAC,4))+(VLOOKUP(P9,TABLAC,3)))</f>
        <v>5.8892609704462959</v>
      </c>
      <c r="S9" s="44">
        <f>+O9-R9</f>
        <v>1257.4030812402984</v>
      </c>
      <c r="T9" s="31"/>
      <c r="U9" s="32"/>
      <c r="V9" s="31"/>
      <c r="W9" s="31"/>
      <c r="X9" s="31"/>
      <c r="Y9" s="31"/>
      <c r="Z9" s="22">
        <v>496.08</v>
      </c>
      <c r="AA9" s="33">
        <v>4210.41</v>
      </c>
      <c r="AB9" s="22">
        <v>9.52</v>
      </c>
      <c r="AC9" s="23">
        <v>6.4000000000000001E-2</v>
      </c>
      <c r="AD9" s="24"/>
      <c r="AE9" s="24"/>
      <c r="AF9" s="26">
        <v>1768.97</v>
      </c>
      <c r="AG9" s="26">
        <v>2653.38</v>
      </c>
      <c r="AH9" s="25">
        <v>406.83</v>
      </c>
    </row>
    <row r="10" spans="1:34">
      <c r="A10" s="37">
        <v>2</v>
      </c>
      <c r="B10" s="38"/>
      <c r="C10" s="38" t="s">
        <v>61</v>
      </c>
      <c r="D10" s="38" t="s">
        <v>46</v>
      </c>
      <c r="E10" s="39">
        <v>41623</v>
      </c>
      <c r="F10" s="40">
        <v>41639</v>
      </c>
      <c r="G10" s="41"/>
      <c r="H10" s="41"/>
      <c r="I10" s="41"/>
      <c r="J10" s="101"/>
      <c r="K10" s="107"/>
      <c r="L10" s="102">
        <f>K10*I10</f>
        <v>0</v>
      </c>
      <c r="M10" s="103">
        <f>+factoruno*I10</f>
        <v>0</v>
      </c>
      <c r="N10" s="103">
        <f>factordos*L10</f>
        <v>0</v>
      </c>
      <c r="O10" s="103">
        <f>+M10+N10</f>
        <v>0</v>
      </c>
      <c r="P10" s="103">
        <f>+O10-Q10</f>
        <v>0</v>
      </c>
      <c r="Q10" s="103"/>
      <c r="R10" s="103"/>
      <c r="S10" s="104"/>
      <c r="T10" s="31"/>
      <c r="U10" s="36"/>
      <c r="V10" s="31"/>
      <c r="W10" s="31"/>
      <c r="X10" s="31"/>
      <c r="Y10" s="31"/>
      <c r="Z10" s="33">
        <v>4210.42</v>
      </c>
      <c r="AA10" s="33">
        <v>7399.42</v>
      </c>
      <c r="AB10" s="22">
        <v>247.23</v>
      </c>
      <c r="AC10" s="23">
        <v>0.10880000000000001</v>
      </c>
      <c r="AD10" s="24"/>
      <c r="AE10" s="24"/>
      <c r="AF10" s="26">
        <v>2653.39</v>
      </c>
      <c r="AG10" s="26">
        <v>3472.84</v>
      </c>
      <c r="AH10" s="25">
        <v>406.62</v>
      </c>
    </row>
    <row r="11" spans="1:34" s="31" customFormat="1">
      <c r="A11" s="27">
        <v>3</v>
      </c>
      <c r="B11" s="34" t="s">
        <v>33</v>
      </c>
      <c r="C11" s="34" t="s">
        <v>53</v>
      </c>
      <c r="D11" s="34" t="s">
        <v>47</v>
      </c>
      <c r="E11" s="35">
        <v>41382</v>
      </c>
      <c r="F11" s="29">
        <v>41639</v>
      </c>
      <c r="G11" s="30">
        <v>259</v>
      </c>
      <c r="H11" s="30">
        <v>0</v>
      </c>
      <c r="I11" s="30">
        <f t="shared" ref="I11:I18" si="0">G11-H11</f>
        <v>259</v>
      </c>
      <c r="J11" s="99">
        <f>I11*factoruno</f>
        <v>1345.6863285556781</v>
      </c>
      <c r="K11" s="106">
        <v>400</v>
      </c>
      <c r="L11" s="43">
        <f>K11*I11</f>
        <v>103600</v>
      </c>
      <c r="M11" s="44">
        <f>+factoruno*I11</f>
        <v>1345.6863285556781</v>
      </c>
      <c r="N11" s="44">
        <f>factordos*L11</f>
        <v>2850.7240453112227</v>
      </c>
      <c r="O11" s="44">
        <f>+M11+N11</f>
        <v>4196.410373866901</v>
      </c>
      <c r="P11" s="44">
        <f>+O11-Q11</f>
        <v>3239.8603738669008</v>
      </c>
      <c r="Q11" s="44">
        <f>+IF(O11&gt;($Q$5*15),$Q$5*15,O11)</f>
        <v>956.55000000000007</v>
      </c>
      <c r="R11" s="44">
        <f>(((P11-(VLOOKUP(P11,TABLAC,1)))*VLOOKUP(P11,TABLAC,4))+(VLOOKUP(P11,TABLAC,3)))</f>
        <v>185.12194392748168</v>
      </c>
      <c r="S11" s="45">
        <f>+O11-R11</f>
        <v>4011.2884299394191</v>
      </c>
      <c r="U11" s="36"/>
      <c r="Z11" s="46">
        <v>7399.43</v>
      </c>
      <c r="AA11" s="46">
        <v>8601.5</v>
      </c>
      <c r="AB11" s="47">
        <v>594.24</v>
      </c>
      <c r="AC11" s="48">
        <v>0.16</v>
      </c>
      <c r="AD11" s="96"/>
      <c r="AE11" s="96"/>
      <c r="AF11" s="97">
        <v>3472.85</v>
      </c>
      <c r="AG11" s="97">
        <v>3537.87</v>
      </c>
      <c r="AH11" s="98">
        <v>392.77</v>
      </c>
    </row>
    <row r="12" spans="1:34" s="31" customFormat="1">
      <c r="A12" s="37">
        <v>4</v>
      </c>
      <c r="B12" s="38"/>
      <c r="C12" s="38" t="s">
        <v>54</v>
      </c>
      <c r="D12" s="38" t="s">
        <v>48</v>
      </c>
      <c r="E12" s="39">
        <v>41609</v>
      </c>
      <c r="F12" s="40">
        <v>41639</v>
      </c>
      <c r="G12" s="41"/>
      <c r="H12" s="41"/>
      <c r="I12" s="41"/>
      <c r="J12" s="101"/>
      <c r="K12" s="107"/>
      <c r="L12" s="102">
        <f>K12*I12</f>
        <v>0</v>
      </c>
      <c r="M12" s="103">
        <f>+factoruno*I12</f>
        <v>0</v>
      </c>
      <c r="N12" s="103">
        <f>factordos*L12</f>
        <v>0</v>
      </c>
      <c r="O12" s="103">
        <f>+M12+N12</f>
        <v>0</v>
      </c>
      <c r="P12" s="103">
        <f>+O12-Q12</f>
        <v>0</v>
      </c>
      <c r="Q12" s="103"/>
      <c r="R12" s="103"/>
      <c r="S12" s="104"/>
      <c r="U12" s="36"/>
      <c r="Z12" s="46">
        <v>8601.51</v>
      </c>
      <c r="AA12" s="46">
        <v>10998.35</v>
      </c>
      <c r="AB12" s="47">
        <v>786.54</v>
      </c>
      <c r="AC12" s="48">
        <v>0.1792</v>
      </c>
      <c r="AD12" s="96"/>
      <c r="AE12" s="96"/>
      <c r="AF12" s="97">
        <v>3537.88</v>
      </c>
      <c r="AG12" s="97">
        <v>4446.16</v>
      </c>
      <c r="AH12" s="98">
        <v>382.46</v>
      </c>
    </row>
    <row r="13" spans="1:34" s="31" customFormat="1">
      <c r="A13" s="27">
        <v>5</v>
      </c>
      <c r="B13" s="28" t="s">
        <v>32</v>
      </c>
      <c r="C13" s="34" t="s">
        <v>55</v>
      </c>
      <c r="D13" s="34" t="s">
        <v>49</v>
      </c>
      <c r="E13" s="35">
        <v>40938</v>
      </c>
      <c r="F13" s="29">
        <v>41639</v>
      </c>
      <c r="G13" s="30">
        <v>365</v>
      </c>
      <c r="H13" s="30">
        <v>0</v>
      </c>
      <c r="I13" s="30">
        <f t="shared" si="0"/>
        <v>365</v>
      </c>
      <c r="J13" s="99">
        <f>I13*factoruno</f>
        <v>1896.430540242558</v>
      </c>
      <c r="K13" s="106">
        <v>320</v>
      </c>
      <c r="L13" s="43">
        <f>K13*I13</f>
        <v>116800</v>
      </c>
      <c r="M13" s="44">
        <f>+factoruno*I13</f>
        <v>1896.430540242558</v>
      </c>
      <c r="N13" s="44">
        <f>factordos*L13</f>
        <v>3213.9437113161275</v>
      </c>
      <c r="O13" s="44">
        <f>+M13+N13</f>
        <v>5110.3742515586855</v>
      </c>
      <c r="P13" s="44">
        <f>+O13-Q13</f>
        <v>4153.8242515586853</v>
      </c>
      <c r="Q13" s="44">
        <f>+IF(O13&gt;($Q$5*15),$Q$5*15,O13)</f>
        <v>956.55000000000007</v>
      </c>
      <c r="R13" s="44">
        <f>(((P13-(VLOOKUP(P13,TABLAC,1)))*VLOOKUP(P13,TABLAC,4))+(VLOOKUP(P13,TABLAC,3)))</f>
        <v>243.61563209975589</v>
      </c>
      <c r="S13" s="45">
        <f>+O13-R13</f>
        <v>4866.7586194589294</v>
      </c>
      <c r="U13" s="36"/>
      <c r="Z13" s="46">
        <v>10298.36</v>
      </c>
      <c r="AA13" s="46">
        <v>20770.29</v>
      </c>
      <c r="AB13" s="47">
        <v>1090.6099999999999</v>
      </c>
      <c r="AC13" s="48">
        <v>0.21360000000000001</v>
      </c>
      <c r="AD13" s="96"/>
      <c r="AE13" s="96"/>
      <c r="AF13" s="97">
        <v>4446.16</v>
      </c>
      <c r="AG13" s="97">
        <v>4717.1899999999996</v>
      </c>
      <c r="AH13" s="98">
        <v>354.23</v>
      </c>
    </row>
    <row r="14" spans="1:34">
      <c r="A14" s="37">
        <v>6</v>
      </c>
      <c r="B14" s="38"/>
      <c r="C14" s="38" t="s">
        <v>56</v>
      </c>
      <c r="D14" s="38" t="s">
        <v>50</v>
      </c>
      <c r="E14" s="39">
        <v>41628</v>
      </c>
      <c r="F14" s="40">
        <v>41639</v>
      </c>
      <c r="G14" s="41"/>
      <c r="H14" s="41"/>
      <c r="I14" s="41"/>
      <c r="J14" s="101"/>
      <c r="K14" s="107"/>
      <c r="L14" s="102"/>
      <c r="M14" s="103"/>
      <c r="N14" s="103"/>
      <c r="O14" s="103"/>
      <c r="P14" s="103"/>
      <c r="Q14" s="103"/>
      <c r="R14" s="103"/>
      <c r="S14" s="104"/>
      <c r="T14" s="31"/>
      <c r="U14" s="36"/>
      <c r="V14" s="31"/>
      <c r="W14" s="31"/>
      <c r="X14" s="31"/>
      <c r="Y14" s="31"/>
      <c r="Z14" s="33">
        <v>20770.3</v>
      </c>
      <c r="AA14" s="33">
        <v>32736.83</v>
      </c>
      <c r="AB14" s="22">
        <v>3327.42</v>
      </c>
      <c r="AC14" s="23">
        <v>0.23519999999999999</v>
      </c>
      <c r="AD14" s="24"/>
      <c r="AE14" s="24"/>
      <c r="AF14" s="26">
        <v>4717.1899999999996</v>
      </c>
      <c r="AG14" s="26">
        <v>5335.43</v>
      </c>
      <c r="AH14" s="25">
        <v>324.87</v>
      </c>
    </row>
    <row r="15" spans="1:34">
      <c r="A15" s="27">
        <v>7</v>
      </c>
      <c r="B15" s="28" t="s">
        <v>32</v>
      </c>
      <c r="C15" s="34" t="s">
        <v>57</v>
      </c>
      <c r="D15" s="34" t="s">
        <v>50</v>
      </c>
      <c r="E15" s="35">
        <v>40909</v>
      </c>
      <c r="F15" s="29">
        <v>41639</v>
      </c>
      <c r="G15" s="30">
        <v>365</v>
      </c>
      <c r="H15" s="30">
        <v>3</v>
      </c>
      <c r="I15" s="30">
        <f t="shared" si="0"/>
        <v>362</v>
      </c>
      <c r="J15" s="99">
        <f>I15*factoruno</f>
        <v>1880.8434399117973</v>
      </c>
      <c r="K15" s="106">
        <v>85</v>
      </c>
      <c r="L15" s="43">
        <f>K15*I15</f>
        <v>30770</v>
      </c>
      <c r="M15" s="44">
        <f>+factoruno*I15</f>
        <v>1880.8434399117973</v>
      </c>
      <c r="N15" s="44">
        <f>factordos*L15</f>
        <v>846.68705477052436</v>
      </c>
      <c r="O15" s="44">
        <f>+M15+N15</f>
        <v>2727.5304946823217</v>
      </c>
      <c r="P15" s="44">
        <f>+O15-Q15</f>
        <v>1770.9804946823215</v>
      </c>
      <c r="Q15" s="44">
        <f>+IF(O15&gt;($Q$5*15),$Q$5*15,O15)</f>
        <v>956.55000000000007</v>
      </c>
      <c r="R15" s="44">
        <f>(((P15-(VLOOKUP(P15,TABLAC,1)))*VLOOKUP(P15,TABLAC,4))+(VLOOKUP(P15,TABLAC,3)))</f>
        <v>91.11363165966857</v>
      </c>
      <c r="S15" s="45">
        <f>+O15-R15</f>
        <v>2636.4168630226532</v>
      </c>
      <c r="T15" s="31"/>
      <c r="U15" s="36"/>
      <c r="V15" s="31"/>
      <c r="W15" s="31"/>
      <c r="X15" s="31"/>
      <c r="Y15" s="31"/>
      <c r="Z15" s="46">
        <v>32736.83</v>
      </c>
      <c r="AA15" s="46">
        <v>62500</v>
      </c>
      <c r="AB15" s="47">
        <v>6141.95</v>
      </c>
      <c r="AC15" s="48">
        <v>0.3</v>
      </c>
      <c r="AD15" s="24"/>
      <c r="AE15" s="24"/>
      <c r="AF15" s="26">
        <v>5335.43</v>
      </c>
      <c r="AG15" s="26">
        <v>6224.68</v>
      </c>
      <c r="AH15" s="25">
        <v>294.63</v>
      </c>
    </row>
    <row r="16" spans="1:34" s="31" customFormat="1">
      <c r="A16" s="37">
        <v>8</v>
      </c>
      <c r="B16" s="38"/>
      <c r="C16" s="38" t="s">
        <v>58</v>
      </c>
      <c r="D16" s="38" t="s">
        <v>51</v>
      </c>
      <c r="E16" s="39"/>
      <c r="F16" s="40">
        <v>41639</v>
      </c>
      <c r="G16" s="41"/>
      <c r="H16" s="41"/>
      <c r="I16" s="41"/>
      <c r="J16" s="101"/>
      <c r="K16" s="107"/>
      <c r="L16" s="102"/>
      <c r="M16" s="103"/>
      <c r="N16" s="103"/>
      <c r="O16" s="103"/>
      <c r="P16" s="103"/>
      <c r="Q16" s="103"/>
      <c r="R16" s="103"/>
      <c r="S16" s="104"/>
      <c r="U16" s="36"/>
      <c r="Z16" s="46">
        <v>62500.01</v>
      </c>
      <c r="AA16" s="46">
        <v>83333.33</v>
      </c>
      <c r="AB16" s="47">
        <v>15070.9</v>
      </c>
      <c r="AC16" s="48">
        <v>0.32</v>
      </c>
      <c r="AD16" s="96"/>
      <c r="AE16" s="96"/>
      <c r="AF16" s="97">
        <v>6224.68</v>
      </c>
      <c r="AG16" s="97">
        <v>7113.91</v>
      </c>
      <c r="AH16" s="98">
        <v>253.54</v>
      </c>
    </row>
    <row r="17" spans="1:34">
      <c r="A17" s="27">
        <v>9</v>
      </c>
      <c r="B17" s="28" t="s">
        <v>32</v>
      </c>
      <c r="C17" s="34" t="s">
        <v>59</v>
      </c>
      <c r="D17" s="34" t="s">
        <v>50</v>
      </c>
      <c r="E17" s="51">
        <v>39872</v>
      </c>
      <c r="F17" s="29">
        <v>41639</v>
      </c>
      <c r="G17" s="52">
        <v>365</v>
      </c>
      <c r="H17" s="52">
        <v>3</v>
      </c>
      <c r="I17" s="52">
        <f t="shared" si="0"/>
        <v>362</v>
      </c>
      <c r="J17" s="99">
        <f>I17*factoruno</f>
        <v>1880.8434399117973</v>
      </c>
      <c r="K17" s="105">
        <v>85</v>
      </c>
      <c r="L17" s="43">
        <f t="shared" ref="L17:L18" si="1">K17*I17</f>
        <v>30770</v>
      </c>
      <c r="M17" s="44">
        <f>+factoruno*I17</f>
        <v>1880.8434399117973</v>
      </c>
      <c r="N17" s="44">
        <f>factordos*L17</f>
        <v>846.68705477052436</v>
      </c>
      <c r="O17" s="44">
        <f t="shared" ref="O17:O18" si="2">+M17+N17</f>
        <v>2727.5304946823217</v>
      </c>
      <c r="P17" s="44">
        <f>+O17-Q17</f>
        <v>1770.9804946823215</v>
      </c>
      <c r="Q17" s="44">
        <f t="shared" ref="Q17:Q18" si="3">+IF(O17&gt;($Q$5*15),$Q$5*15,O17)</f>
        <v>956.55000000000007</v>
      </c>
      <c r="R17" s="44">
        <f>(((P17-(VLOOKUP(P17,TABLAC,1)))*VLOOKUP(P17,TABLAC,4))+(VLOOKUP(P17,TABLAC,3)))</f>
        <v>91.11363165966857</v>
      </c>
      <c r="S17" s="45">
        <f t="shared" ref="S17:S18" si="4">+O17-R17</f>
        <v>2636.4168630226532</v>
      </c>
      <c r="T17" s="31"/>
      <c r="U17" s="36"/>
      <c r="V17" s="31"/>
      <c r="W17" s="31"/>
      <c r="X17" s="31"/>
      <c r="Y17" s="31"/>
      <c r="Z17" s="46">
        <v>83333.34</v>
      </c>
      <c r="AA17" s="46">
        <v>250000</v>
      </c>
      <c r="AB17" s="47">
        <v>21737.57</v>
      </c>
      <c r="AC17" s="48">
        <v>0.34</v>
      </c>
      <c r="AD17" s="24"/>
      <c r="AE17" s="24"/>
      <c r="AF17" s="26">
        <v>7113.91</v>
      </c>
      <c r="AG17" s="26" t="s">
        <v>34</v>
      </c>
      <c r="AH17" s="25">
        <v>217.61</v>
      </c>
    </row>
    <row r="18" spans="1:34">
      <c r="A18" s="27">
        <v>10</v>
      </c>
      <c r="B18" s="34" t="s">
        <v>33</v>
      </c>
      <c r="C18" s="34" t="s">
        <v>60</v>
      </c>
      <c r="D18" s="50" t="s">
        <v>45</v>
      </c>
      <c r="E18" s="51">
        <v>41029</v>
      </c>
      <c r="F18" s="29">
        <v>41603</v>
      </c>
      <c r="G18" s="52">
        <v>329</v>
      </c>
      <c r="H18" s="52">
        <v>7</v>
      </c>
      <c r="I18" s="52">
        <f t="shared" si="0"/>
        <v>322</v>
      </c>
      <c r="J18" s="99">
        <f>I18*factoruno</f>
        <v>1673.0154355016539</v>
      </c>
      <c r="K18" s="105">
        <v>130</v>
      </c>
      <c r="L18" s="43">
        <f t="shared" si="1"/>
        <v>41860</v>
      </c>
      <c r="M18" s="44">
        <f>+factoruno*I18</f>
        <v>1673.0154355016539</v>
      </c>
      <c r="N18" s="44">
        <f>factordos*L18</f>
        <v>1151.8466074973724</v>
      </c>
      <c r="O18" s="44">
        <f t="shared" si="2"/>
        <v>2824.862042999026</v>
      </c>
      <c r="P18" s="44">
        <f>+O18-Q18</f>
        <v>1868.3120429990258</v>
      </c>
      <c r="Q18" s="44">
        <f t="shared" si="3"/>
        <v>956.55000000000007</v>
      </c>
      <c r="R18" s="44">
        <f>(((P18-(VLOOKUP(P18,TABLAC,1)))*VLOOKUP(P18,TABLAC,4))+(VLOOKUP(P18,TABLAC,3)))</f>
        <v>97.342850751937661</v>
      </c>
      <c r="S18" s="45">
        <f t="shared" si="4"/>
        <v>2727.5191922470885</v>
      </c>
      <c r="T18" s="31"/>
      <c r="U18" s="36"/>
      <c r="V18" s="31"/>
      <c r="W18" s="31"/>
      <c r="X18" s="31"/>
      <c r="Y18" s="31"/>
      <c r="Z18" s="54"/>
      <c r="AA18" s="54"/>
      <c r="AB18" s="55"/>
      <c r="AC18" s="56"/>
      <c r="AD18" s="24"/>
      <c r="AE18" s="24"/>
      <c r="AF18" s="57"/>
      <c r="AG18" s="57"/>
      <c r="AH18" s="58"/>
    </row>
    <row r="19" spans="1:34">
      <c r="A19" s="49"/>
      <c r="B19" s="34"/>
      <c r="C19" s="34"/>
      <c r="D19" s="50"/>
      <c r="E19" s="51"/>
      <c r="F19" s="52"/>
      <c r="G19" s="52"/>
      <c r="H19" s="52"/>
      <c r="I19" s="52"/>
      <c r="J19" s="52"/>
      <c r="K19" s="105"/>
      <c r="L19" s="52"/>
      <c r="M19" s="52"/>
      <c r="N19" s="42"/>
      <c r="O19" s="42"/>
      <c r="P19" s="42"/>
      <c r="Q19" s="42"/>
      <c r="R19" s="42"/>
      <c r="S19" s="53"/>
      <c r="T19" s="31"/>
      <c r="U19" s="36"/>
      <c r="V19" s="31"/>
      <c r="W19" s="31"/>
      <c r="X19" s="31"/>
      <c r="Y19" s="31"/>
      <c r="Z19" s="54"/>
      <c r="AA19" s="54"/>
      <c r="AB19" s="55"/>
      <c r="AC19" s="56"/>
      <c r="AD19" s="24"/>
      <c r="AE19" s="24"/>
      <c r="AF19" s="57"/>
      <c r="AG19" s="57"/>
      <c r="AH19" s="58"/>
    </row>
    <row r="20" spans="1:34">
      <c r="A20" s="49"/>
      <c r="B20" s="34"/>
      <c r="C20" s="34"/>
      <c r="D20" s="50"/>
      <c r="E20" s="51"/>
      <c r="F20" s="52"/>
      <c r="G20" s="52"/>
      <c r="H20" s="52"/>
      <c r="I20" s="52"/>
      <c r="J20" s="52"/>
      <c r="K20" s="105"/>
      <c r="L20" s="52"/>
      <c r="M20" s="52"/>
      <c r="N20" s="42"/>
      <c r="O20" s="42"/>
      <c r="P20" s="42"/>
      <c r="Q20" s="42"/>
      <c r="R20" s="42"/>
      <c r="S20" s="53"/>
      <c r="T20" s="31"/>
      <c r="U20" s="36"/>
      <c r="V20" s="31"/>
      <c r="W20" s="31"/>
      <c r="X20" s="31"/>
      <c r="Y20" s="31"/>
      <c r="Z20" s="54"/>
      <c r="AA20" s="54"/>
      <c r="AB20" s="55"/>
      <c r="AC20" s="56"/>
      <c r="AD20" s="24"/>
      <c r="AE20" s="24"/>
      <c r="AF20" s="57"/>
      <c r="AG20" s="57"/>
      <c r="AH20" s="58"/>
    </row>
    <row r="21" spans="1:34">
      <c r="A21" s="49"/>
      <c r="B21" s="34"/>
      <c r="C21" s="34"/>
      <c r="D21" s="50"/>
      <c r="E21" s="51"/>
      <c r="F21" s="52"/>
      <c r="G21" s="52"/>
      <c r="H21" s="52"/>
      <c r="I21" s="52"/>
      <c r="J21" s="52"/>
      <c r="K21" s="105"/>
      <c r="L21" s="52"/>
      <c r="M21" s="52"/>
      <c r="N21" s="42"/>
      <c r="O21" s="42"/>
      <c r="P21" s="42"/>
      <c r="Q21" s="42"/>
      <c r="R21" s="42"/>
      <c r="S21" s="53"/>
      <c r="T21" s="31"/>
      <c r="U21" s="36"/>
      <c r="V21" s="31"/>
      <c r="W21" s="31"/>
      <c r="X21" s="31"/>
      <c r="Y21" s="31"/>
      <c r="Z21" s="54"/>
      <c r="AA21" s="54"/>
      <c r="AB21" s="55"/>
      <c r="AC21" s="56"/>
      <c r="AD21" s="24"/>
      <c r="AE21" s="24"/>
      <c r="AF21" s="57"/>
      <c r="AG21" s="57"/>
      <c r="AH21" s="58"/>
    </row>
    <row r="22" spans="1:34">
      <c r="A22" s="49"/>
      <c r="B22" s="34"/>
      <c r="C22" s="34"/>
      <c r="D22" s="50"/>
      <c r="E22" s="51"/>
      <c r="F22" s="52"/>
      <c r="G22" s="52"/>
      <c r="H22" s="52"/>
      <c r="I22" s="52"/>
      <c r="J22" s="52"/>
      <c r="K22" s="105"/>
      <c r="L22" s="52"/>
      <c r="M22" s="52"/>
      <c r="N22" s="42"/>
      <c r="O22" s="42"/>
      <c r="P22" s="42"/>
      <c r="Q22" s="42"/>
      <c r="R22" s="42"/>
      <c r="S22" s="53"/>
      <c r="T22" s="31"/>
      <c r="U22" s="36"/>
      <c r="V22" s="31"/>
      <c r="W22" s="31"/>
      <c r="X22" s="31"/>
      <c r="Y22" s="31"/>
      <c r="Z22" s="54">
        <v>18373.77</v>
      </c>
      <c r="AA22" s="54"/>
      <c r="AB22" s="55"/>
      <c r="AC22" s="56"/>
      <c r="AD22" s="24"/>
      <c r="AE22" s="24"/>
      <c r="AF22" s="57"/>
      <c r="AG22" s="57"/>
      <c r="AH22" s="58"/>
    </row>
    <row r="23" spans="1:34">
      <c r="A23" s="59"/>
      <c r="D23" s="50"/>
      <c r="E23" s="51"/>
      <c r="F23" s="52"/>
      <c r="G23" s="52"/>
      <c r="H23" s="52"/>
      <c r="I23" s="52"/>
      <c r="J23" s="52"/>
      <c r="K23" s="105"/>
      <c r="L23" s="52"/>
      <c r="M23" s="52"/>
      <c r="N23" s="53"/>
      <c r="O23" s="53"/>
      <c r="P23" s="53"/>
      <c r="Q23" s="53"/>
      <c r="R23" s="53"/>
      <c r="S23" s="53"/>
      <c r="U23" s="21"/>
      <c r="Z23" s="54">
        <v>10298.36</v>
      </c>
      <c r="AA23" s="54"/>
      <c r="AB23" s="55"/>
      <c r="AC23" s="56"/>
      <c r="AD23" s="24"/>
      <c r="AE23" s="24"/>
      <c r="AF23" s="57"/>
      <c r="AG23" s="57"/>
      <c r="AH23" s="58"/>
    </row>
    <row r="24" spans="1:34">
      <c r="A24" s="59"/>
      <c r="B24" s="59"/>
      <c r="C24" s="59"/>
      <c r="D24" s="50"/>
      <c r="E24" s="51"/>
      <c r="F24" s="52"/>
      <c r="G24" s="52"/>
      <c r="H24" s="52"/>
      <c r="I24" s="52"/>
      <c r="J24" s="52"/>
      <c r="K24" s="105"/>
      <c r="L24" s="52"/>
      <c r="M24" s="52"/>
      <c r="N24" s="53"/>
      <c r="O24" s="53"/>
      <c r="P24" s="53"/>
      <c r="Q24" s="53"/>
      <c r="R24" s="53"/>
      <c r="S24" s="53"/>
      <c r="Z24" s="54">
        <f>Z22-Z23</f>
        <v>8075.41</v>
      </c>
      <c r="AA24" s="54">
        <f>Z24*AC13</f>
        <v>1724.9075760000001</v>
      </c>
      <c r="AB24" s="54">
        <f>AA24+AB13</f>
        <v>2815.5175760000002</v>
      </c>
      <c r="AC24" s="56"/>
      <c r="AD24" s="24"/>
      <c r="AE24" s="24"/>
      <c r="AF24" s="57"/>
      <c r="AG24" s="57"/>
      <c r="AH24" s="58"/>
    </row>
    <row r="25" spans="1:34">
      <c r="A25" s="60"/>
      <c r="B25" s="60"/>
      <c r="C25" s="60"/>
      <c r="D25" s="60"/>
      <c r="E25" s="60"/>
      <c r="F25" s="52"/>
      <c r="G25" s="52"/>
      <c r="H25" s="52"/>
      <c r="I25" s="52"/>
      <c r="J25" s="52"/>
      <c r="K25" s="105"/>
      <c r="L25" s="52"/>
      <c r="M25" s="52"/>
      <c r="N25" s="60"/>
      <c r="O25" s="60"/>
      <c r="P25" s="60"/>
      <c r="Q25" s="60"/>
      <c r="R25" s="60"/>
      <c r="S25" s="60"/>
    </row>
    <row r="26" spans="1:34">
      <c r="A26" s="60"/>
      <c r="B26" s="60"/>
      <c r="C26" s="60"/>
      <c r="D26" s="60"/>
      <c r="E26" s="60"/>
      <c r="F26" s="60"/>
      <c r="G26" s="62">
        <f>SUM(G17:G18)+SUM(G13:G15)+G11+G9</f>
        <v>1827</v>
      </c>
      <c r="H26" s="62">
        <f>SUM(H9:H25)</f>
        <v>13</v>
      </c>
      <c r="I26" s="62">
        <f>SUM(I9:I22)</f>
        <v>1814</v>
      </c>
      <c r="J26" s="63">
        <f>SUM(J9:J25)</f>
        <v>9425</v>
      </c>
      <c r="K26" s="61">
        <f>SUM(K9:K25)</f>
        <v>1150</v>
      </c>
      <c r="L26" s="64">
        <f>+SUM(L9:L25)</f>
        <v>342520</v>
      </c>
      <c r="M26" s="65">
        <f>+SUM(M9:M24)</f>
        <v>9425</v>
      </c>
      <c r="N26" s="64">
        <f>+SUM(N9:N24)</f>
        <v>9425</v>
      </c>
      <c r="O26" s="66">
        <f>+SUM(O9:O24)</f>
        <v>18850</v>
      </c>
      <c r="P26" s="64">
        <f>+SUM(P9:P24)</f>
        <v>13110.7</v>
      </c>
      <c r="Q26" s="67">
        <f>+SUM(Q9:Q24)</f>
        <v>5739.3</v>
      </c>
      <c r="R26" s="64">
        <f>SUM(R9:R22)</f>
        <v>714.19695106895881</v>
      </c>
      <c r="S26" s="64">
        <f>+SUM(S9:S23)</f>
        <v>18135.80304893104</v>
      </c>
    </row>
    <row r="28" spans="1:34">
      <c r="Z28" s="68"/>
      <c r="AA28" s="68"/>
      <c r="AB28" s="69"/>
      <c r="AC28" s="70"/>
    </row>
    <row r="29" spans="1:34">
      <c r="D29" s="71" t="s">
        <v>35</v>
      </c>
      <c r="F29" t="s">
        <v>62</v>
      </c>
      <c r="G29">
        <v>320</v>
      </c>
      <c r="Z29" s="68"/>
      <c r="AA29" s="68"/>
      <c r="AB29" s="69"/>
      <c r="AC29" s="70"/>
    </row>
    <row r="30" spans="1:34">
      <c r="D30" s="71" t="s">
        <v>36</v>
      </c>
      <c r="F30" t="s">
        <v>62</v>
      </c>
      <c r="G30">
        <v>85</v>
      </c>
      <c r="Z30" s="68"/>
      <c r="AA30" s="68"/>
      <c r="AB30" s="69"/>
      <c r="AC30" s="70"/>
    </row>
    <row r="31" spans="1:34">
      <c r="D31" s="71" t="s">
        <v>37</v>
      </c>
      <c r="F31" t="s">
        <v>62</v>
      </c>
      <c r="G31">
        <v>85</v>
      </c>
      <c r="Z31" s="68"/>
      <c r="AA31" s="68"/>
      <c r="AB31" s="69"/>
      <c r="AC31" s="70"/>
    </row>
    <row r="32" spans="1:34">
      <c r="Z32" s="68"/>
      <c r="AA32" s="68"/>
      <c r="AB32" s="69"/>
      <c r="AC32" s="70"/>
    </row>
    <row r="33" spans="4:29" ht="15.75" thickBot="1">
      <c r="I33" s="72"/>
      <c r="Z33" s="68"/>
      <c r="AA33" s="68"/>
      <c r="AB33" s="69"/>
      <c r="AC33" s="70"/>
    </row>
    <row r="34" spans="4:29">
      <c r="Z34" s="68"/>
      <c r="AA34" s="68"/>
      <c r="AB34" s="69"/>
      <c r="AC34" s="70"/>
    </row>
    <row r="35" spans="4:29">
      <c r="Z35" s="68">
        <v>250000.01</v>
      </c>
      <c r="AA35" s="68"/>
      <c r="AB35" s="68">
        <v>78404.23</v>
      </c>
      <c r="AC35" s="70">
        <v>0.35</v>
      </c>
    </row>
    <row r="37" spans="4:29">
      <c r="D37" s="73" t="s">
        <v>38</v>
      </c>
      <c r="E37" s="74"/>
      <c r="F37" s="74"/>
      <c r="G37" s="74"/>
      <c r="H37" s="74"/>
      <c r="I37" s="74"/>
      <c r="J37" s="74"/>
      <c r="K37" s="75" t="s">
        <v>39</v>
      </c>
      <c r="L37" s="76"/>
      <c r="M37" s="77">
        <f>E5</f>
        <v>18850</v>
      </c>
    </row>
    <row r="38" spans="4:29">
      <c r="D38" s="78"/>
      <c r="E38" s="79"/>
      <c r="F38" s="79"/>
      <c r="G38" s="79"/>
      <c r="H38" s="79"/>
      <c r="I38" s="79"/>
      <c r="J38" s="79"/>
      <c r="K38" s="79"/>
      <c r="L38" s="79"/>
      <c r="M38" s="80"/>
    </row>
    <row r="39" spans="4:29">
      <c r="D39" s="78"/>
      <c r="E39" s="79"/>
      <c r="F39" s="79"/>
      <c r="G39" s="79"/>
      <c r="H39" s="79"/>
      <c r="I39" s="79"/>
      <c r="J39" s="79"/>
      <c r="K39" s="79"/>
      <c r="L39" s="79"/>
      <c r="M39" s="80"/>
    </row>
    <row r="40" spans="4:29">
      <c r="D40" s="78" t="s">
        <v>40</v>
      </c>
      <c r="E40" s="79"/>
      <c r="F40" s="81">
        <f>E5/2</f>
        <v>9425</v>
      </c>
      <c r="G40" s="79"/>
      <c r="H40" s="79"/>
      <c r="I40" s="79"/>
      <c r="J40" s="79"/>
      <c r="K40" s="79"/>
      <c r="L40" s="79"/>
      <c r="M40" s="80"/>
    </row>
    <row r="41" spans="4:29">
      <c r="D41" s="78"/>
      <c r="E41" s="79"/>
      <c r="F41" s="79"/>
      <c r="G41" s="79"/>
      <c r="H41" s="79"/>
      <c r="I41" s="79"/>
      <c r="J41" s="79"/>
      <c r="K41" s="79"/>
      <c r="L41" s="79"/>
      <c r="M41" s="80"/>
    </row>
    <row r="42" spans="4:29">
      <c r="D42" s="82" t="s">
        <v>41</v>
      </c>
      <c r="E42" s="74"/>
      <c r="F42" s="74"/>
      <c r="G42" s="83"/>
      <c r="H42" s="79"/>
      <c r="I42" s="79"/>
      <c r="J42" s="79"/>
      <c r="K42" s="79"/>
      <c r="L42" s="79"/>
      <c r="M42" s="80"/>
    </row>
    <row r="43" spans="4:29">
      <c r="D43" s="78"/>
      <c r="E43" s="79"/>
      <c r="F43" s="84">
        <f>+F40</f>
        <v>9425</v>
      </c>
      <c r="G43" s="80"/>
      <c r="H43" s="79"/>
      <c r="I43" s="79"/>
      <c r="J43" s="79"/>
      <c r="K43" s="79"/>
      <c r="L43" s="79"/>
      <c r="M43" s="80"/>
    </row>
    <row r="44" spans="4:29">
      <c r="D44" s="78"/>
      <c r="E44" s="79" t="s">
        <v>42</v>
      </c>
      <c r="F44" s="85">
        <f>I26</f>
        <v>1814</v>
      </c>
      <c r="G44" s="100">
        <f>+F43/F44</f>
        <v>5.1957001102535836</v>
      </c>
      <c r="H44" s="87"/>
      <c r="I44" s="87"/>
      <c r="J44" s="87"/>
      <c r="K44" s="79"/>
      <c r="L44" s="79"/>
      <c r="M44" s="80"/>
    </row>
    <row r="45" spans="4:29">
      <c r="D45" s="88"/>
      <c r="E45" s="89"/>
      <c r="F45" s="89"/>
      <c r="G45" s="90"/>
      <c r="H45" s="79"/>
      <c r="I45" s="79"/>
      <c r="J45" s="79"/>
      <c r="K45" s="79"/>
      <c r="L45" s="79"/>
      <c r="M45" s="80"/>
    </row>
    <row r="46" spans="4:29">
      <c r="D46" s="91" t="s">
        <v>43</v>
      </c>
      <c r="E46" s="74"/>
      <c r="F46" s="74"/>
      <c r="G46" s="83"/>
      <c r="H46" s="79"/>
      <c r="I46" s="79"/>
      <c r="J46" s="79"/>
      <c r="K46" s="79"/>
      <c r="L46" s="79"/>
      <c r="M46" s="80"/>
    </row>
    <row r="47" spans="4:29">
      <c r="D47" s="78"/>
      <c r="E47" s="79"/>
      <c r="F47" s="84">
        <f>+F40</f>
        <v>9425</v>
      </c>
      <c r="G47" s="80"/>
      <c r="H47" s="79"/>
      <c r="I47" s="79"/>
      <c r="J47" s="79"/>
      <c r="K47" s="79"/>
      <c r="L47" s="79"/>
      <c r="M47" s="80"/>
    </row>
    <row r="48" spans="4:29">
      <c r="D48" s="78"/>
      <c r="E48" s="79" t="s">
        <v>44</v>
      </c>
      <c r="F48" s="92">
        <f>L26</f>
        <v>342520</v>
      </c>
      <c r="G48" s="86">
        <f>+F47/F48</f>
        <v>2.751664136400794E-2</v>
      </c>
      <c r="H48" s="87"/>
      <c r="I48" s="87"/>
      <c r="J48" s="87"/>
      <c r="K48" s="79"/>
      <c r="L48" s="79"/>
      <c r="M48" s="80"/>
    </row>
    <row r="49" spans="1:13">
      <c r="D49" s="88"/>
      <c r="E49" s="89"/>
      <c r="F49" s="89"/>
      <c r="G49" s="90"/>
      <c r="H49" s="79"/>
      <c r="I49" s="79"/>
      <c r="J49" s="79"/>
      <c r="K49" s="93"/>
      <c r="L49" s="79"/>
      <c r="M49" s="80"/>
    </row>
    <row r="50" spans="1:13">
      <c r="D50" s="78"/>
      <c r="E50" s="79"/>
      <c r="F50" s="79"/>
      <c r="G50" s="79"/>
      <c r="H50" s="79"/>
      <c r="I50" s="79"/>
      <c r="J50" s="79"/>
      <c r="K50" s="93"/>
      <c r="L50" s="79"/>
      <c r="M50" s="80"/>
    </row>
    <row r="51" spans="1:13">
      <c r="D51" s="78"/>
      <c r="E51" s="79"/>
      <c r="F51" s="79"/>
      <c r="G51" s="79"/>
      <c r="H51" s="79"/>
      <c r="I51" s="79"/>
      <c r="J51" s="79"/>
      <c r="K51" s="93"/>
      <c r="L51" s="79"/>
      <c r="M51" s="80"/>
    </row>
    <row r="52" spans="1:13">
      <c r="D52" s="88"/>
      <c r="E52" s="89"/>
      <c r="F52" s="89"/>
      <c r="G52" s="89"/>
      <c r="H52" s="89"/>
      <c r="I52" s="89"/>
      <c r="J52" s="89"/>
      <c r="K52" s="94"/>
      <c r="L52" s="89"/>
      <c r="M52" s="90"/>
    </row>
    <row r="55" spans="1:13">
      <c r="A55" t="s">
        <v>63</v>
      </c>
      <c r="C55">
        <v>186500</v>
      </c>
      <c r="D55" s="95"/>
    </row>
  </sheetData>
  <mergeCells count="7">
    <mergeCell ref="E6:I6"/>
    <mergeCell ref="J6:L6"/>
    <mergeCell ref="A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tabSelected="1" workbookViewId="0">
      <selection activeCell="G14" sqref="G14"/>
    </sheetView>
  </sheetViews>
  <sheetFormatPr baseColWidth="10" defaultRowHeight="15"/>
  <cols>
    <col min="3" max="3" width="10.85546875" bestFit="1" customWidth="1"/>
    <col min="4" max="4" width="24.5703125" bestFit="1" customWidth="1"/>
    <col min="5" max="5" width="13" bestFit="1" customWidth="1"/>
    <col min="6" max="6" width="12.28515625" bestFit="1" customWidth="1"/>
  </cols>
  <sheetData>
    <row r="1" spans="1:19">
      <c r="A1" t="s">
        <v>0</v>
      </c>
      <c r="E1" s="2">
        <v>188500</v>
      </c>
      <c r="K1" s="1"/>
    </row>
    <row r="2" spans="1:19">
      <c r="A2" t="s">
        <v>1</v>
      </c>
      <c r="E2" s="3">
        <f>E1*0.1</f>
        <v>18850</v>
      </c>
      <c r="K2" s="1"/>
    </row>
    <row r="3" spans="1:19" ht="15.75" thickBot="1">
      <c r="E3" s="4"/>
      <c r="K3" s="1"/>
    </row>
    <row r="4" spans="1:19" ht="16.5" thickTop="1" thickBot="1">
      <c r="A4" t="s">
        <v>2</v>
      </c>
      <c r="E4" s="5">
        <f>E2+E3</f>
        <v>18850</v>
      </c>
      <c r="K4" s="1">
        <v>385</v>
      </c>
      <c r="P4" s="6" t="s">
        <v>3</v>
      </c>
      <c r="Q4" s="7">
        <v>63.77</v>
      </c>
    </row>
    <row r="5" spans="1:19">
      <c r="E5" s="108" t="s">
        <v>6</v>
      </c>
      <c r="F5" s="109"/>
      <c r="G5" s="109"/>
      <c r="H5" s="109"/>
      <c r="I5" s="110"/>
      <c r="J5" s="111" t="s">
        <v>7</v>
      </c>
      <c r="K5" s="112"/>
      <c r="L5" s="113"/>
      <c r="M5" s="11">
        <f>K11*1.2</f>
        <v>0</v>
      </c>
      <c r="P5" s="6"/>
      <c r="Q5" s="7"/>
    </row>
    <row r="6" spans="1:19">
      <c r="A6" s="114" t="s">
        <v>8</v>
      </c>
      <c r="B6" s="114"/>
      <c r="C6" s="114"/>
      <c r="D6" s="114"/>
      <c r="E6" s="115" t="s">
        <v>9</v>
      </c>
      <c r="F6" s="115" t="s">
        <v>10</v>
      </c>
      <c r="G6" s="115" t="s">
        <v>11</v>
      </c>
      <c r="H6" s="115" t="s">
        <v>12</v>
      </c>
      <c r="I6" s="12" t="s">
        <v>13</v>
      </c>
      <c r="J6" s="13" t="s">
        <v>14</v>
      </c>
      <c r="K6" s="14" t="s">
        <v>15</v>
      </c>
      <c r="L6" s="12" t="s">
        <v>16</v>
      </c>
      <c r="M6" s="15" t="s">
        <v>17</v>
      </c>
      <c r="N6" s="16" t="s">
        <v>17</v>
      </c>
      <c r="O6" s="16" t="s">
        <v>18</v>
      </c>
      <c r="P6" s="17" t="s">
        <v>19</v>
      </c>
      <c r="Q6" s="17" t="s">
        <v>19</v>
      </c>
      <c r="R6" s="16" t="s">
        <v>20</v>
      </c>
      <c r="S6" s="16" t="s">
        <v>21</v>
      </c>
    </row>
    <row r="7" spans="1:19">
      <c r="A7" s="114"/>
      <c r="B7" s="114"/>
      <c r="C7" s="114"/>
      <c r="D7" s="114"/>
      <c r="E7" s="115"/>
      <c r="F7" s="115"/>
      <c r="G7" s="115"/>
      <c r="H7" s="115"/>
      <c r="I7" s="12" t="s">
        <v>22</v>
      </c>
      <c r="J7" s="13" t="s">
        <v>23</v>
      </c>
      <c r="K7" s="14" t="s">
        <v>24</v>
      </c>
      <c r="L7" s="12" t="s">
        <v>25</v>
      </c>
      <c r="M7" s="18" t="s">
        <v>26</v>
      </c>
      <c r="N7" s="19" t="s">
        <v>27</v>
      </c>
      <c r="O7" s="19" t="s">
        <v>28</v>
      </c>
      <c r="P7" s="20" t="s">
        <v>29</v>
      </c>
      <c r="Q7" s="20" t="s">
        <v>30</v>
      </c>
      <c r="R7" s="19" t="s">
        <v>31</v>
      </c>
      <c r="S7" s="19" t="s">
        <v>28</v>
      </c>
    </row>
    <row r="8" spans="1:19">
      <c r="A8" s="27">
        <v>1</v>
      </c>
      <c r="B8" s="34" t="s">
        <v>33</v>
      </c>
      <c r="C8" s="34" t="s">
        <v>52</v>
      </c>
      <c r="D8" s="34" t="s">
        <v>45</v>
      </c>
      <c r="E8" s="35">
        <v>41527</v>
      </c>
      <c r="F8" s="29">
        <v>41639</v>
      </c>
      <c r="G8" s="30">
        <v>144</v>
      </c>
      <c r="H8" s="30">
        <v>0</v>
      </c>
      <c r="I8" s="30">
        <f>G8-H8</f>
        <v>144</v>
      </c>
      <c r="J8" s="99">
        <f>I8*$G$44</f>
        <v>0</v>
      </c>
      <c r="K8" s="106">
        <v>130</v>
      </c>
      <c r="L8" s="43">
        <f>K8*I8</f>
        <v>18720</v>
      </c>
      <c r="M8" s="44">
        <f>+factoruno*I8</f>
        <v>748.18081587651602</v>
      </c>
      <c r="N8" s="44">
        <f>+factordos*L8</f>
        <v>515.11152633422864</v>
      </c>
      <c r="O8" s="44">
        <f>+M8+N8</f>
        <v>1263.2923422107447</v>
      </c>
      <c r="P8" s="44">
        <f>+O8-Q8</f>
        <v>1263.2923422107447</v>
      </c>
      <c r="Q8" s="44">
        <f>+IF(O8&gt;($Q$5*15),$Q$5*15,O8)</f>
        <v>0</v>
      </c>
      <c r="R8" s="44">
        <f>(((P8-(VLOOKUP(P8,TABLAC,1)))*VLOOKUP(P8,TABLAC,4))+(VLOOKUP(P8,TABLAC,3)))</f>
        <v>58.621589901487667</v>
      </c>
      <c r="S8" s="44">
        <f>+O8-R8</f>
        <v>1204.6707523092571</v>
      </c>
    </row>
    <row r="9" spans="1:19">
      <c r="A9" s="37">
        <v>2</v>
      </c>
      <c r="B9" s="38"/>
      <c r="C9" s="38" t="s">
        <v>61</v>
      </c>
      <c r="D9" s="38" t="s">
        <v>46</v>
      </c>
      <c r="E9" s="39">
        <v>40954</v>
      </c>
      <c r="F9" s="40">
        <v>41639</v>
      </c>
      <c r="G9" s="41"/>
      <c r="H9" s="41"/>
      <c r="I9" s="41"/>
      <c r="J9" s="101"/>
      <c r="K9" s="107"/>
      <c r="L9" s="102">
        <f>K9*I9</f>
        <v>0</v>
      </c>
      <c r="M9" s="103">
        <f>+factoruno*I9</f>
        <v>0</v>
      </c>
      <c r="N9" s="103">
        <f>factordos*L9</f>
        <v>0</v>
      </c>
      <c r="O9" s="103">
        <f>+M9+N9</f>
        <v>0</v>
      </c>
      <c r="P9" s="103">
        <f>+O9-Q9</f>
        <v>0</v>
      </c>
      <c r="Q9" s="103"/>
      <c r="R9" s="103"/>
      <c r="S9" s="104"/>
    </row>
    <row r="10" spans="1:19">
      <c r="A10" s="27">
        <v>3</v>
      </c>
      <c r="B10" s="34" t="s">
        <v>33</v>
      </c>
      <c r="C10" s="34" t="s">
        <v>53</v>
      </c>
      <c r="D10" s="34" t="s">
        <v>64</v>
      </c>
      <c r="E10" s="35">
        <v>40286</v>
      </c>
      <c r="F10" s="29">
        <v>41639</v>
      </c>
      <c r="G10" s="30">
        <v>259</v>
      </c>
      <c r="H10" s="30">
        <v>0</v>
      </c>
      <c r="I10" s="30">
        <f t="shared" ref="I10:I17" si="0">G10-H10</f>
        <v>259</v>
      </c>
      <c r="J10" s="99">
        <f>I10*factoruno</f>
        <v>1345.6863285556781</v>
      </c>
      <c r="K10" s="106">
        <v>400</v>
      </c>
      <c r="L10" s="43">
        <f>K10*I10</f>
        <v>103600</v>
      </c>
      <c r="M10" s="44">
        <f>+factoruno*I10</f>
        <v>1345.6863285556781</v>
      </c>
      <c r="N10" s="44">
        <f>factordos*L10</f>
        <v>2850.7240453112227</v>
      </c>
      <c r="O10" s="44">
        <f>+M10+N10</f>
        <v>4196.410373866901</v>
      </c>
      <c r="P10" s="44">
        <f>+O10-Q10</f>
        <v>4196.410373866901</v>
      </c>
      <c r="Q10" s="44">
        <f>+IF(O10&gt;($Q$5*15),$Q$5*15,O10)</f>
        <v>0</v>
      </c>
      <c r="R10" s="44">
        <f>(((P10-(VLOOKUP(P10,TABLAC,1)))*VLOOKUP(P10,TABLAC,4))+(VLOOKUP(P10,TABLAC,3)))</f>
        <v>246.34114392748168</v>
      </c>
      <c r="S10" s="45">
        <f>+O10-R10</f>
        <v>3950.0692299394191</v>
      </c>
    </row>
    <row r="11" spans="1:19">
      <c r="A11" s="37">
        <v>4</v>
      </c>
      <c r="B11" s="38"/>
      <c r="C11" s="38" t="s">
        <v>54</v>
      </c>
      <c r="D11" s="38" t="s">
        <v>48</v>
      </c>
      <c r="E11" s="39">
        <v>41609</v>
      </c>
      <c r="F11" s="40">
        <v>41639</v>
      </c>
      <c r="G11" s="41"/>
      <c r="H11" s="41"/>
      <c r="I11" s="41"/>
      <c r="J11" s="101"/>
      <c r="K11" s="107"/>
      <c r="L11" s="102">
        <f>K11*I11</f>
        <v>0</v>
      </c>
      <c r="M11" s="103">
        <f>+factoruno*I11</f>
        <v>0</v>
      </c>
      <c r="N11" s="103">
        <f>factordos*L11</f>
        <v>0</v>
      </c>
      <c r="O11" s="103">
        <f>+M11+N11</f>
        <v>0</v>
      </c>
      <c r="P11" s="103">
        <f>+O11-Q11</f>
        <v>0</v>
      </c>
      <c r="Q11" s="103"/>
      <c r="R11" s="103"/>
      <c r="S11" s="104"/>
    </row>
    <row r="12" spans="1:19">
      <c r="A12" s="27">
        <v>5</v>
      </c>
      <c r="B12" s="28" t="s">
        <v>32</v>
      </c>
      <c r="C12" s="34" t="s">
        <v>55</v>
      </c>
      <c r="D12" s="34" t="s">
        <v>49</v>
      </c>
      <c r="E12" s="35">
        <v>40938</v>
      </c>
      <c r="F12" s="29">
        <v>41639</v>
      </c>
      <c r="G12" s="30">
        <v>365</v>
      </c>
      <c r="H12" s="30">
        <v>0</v>
      </c>
      <c r="I12" s="30">
        <f t="shared" si="0"/>
        <v>365</v>
      </c>
      <c r="J12" s="99">
        <f>I12*factoruno</f>
        <v>1896.430540242558</v>
      </c>
      <c r="K12" s="106">
        <v>320</v>
      </c>
      <c r="L12" s="43">
        <f>K12*I12</f>
        <v>116800</v>
      </c>
      <c r="M12" s="44">
        <f>+factoruno*I12</f>
        <v>1896.430540242558</v>
      </c>
      <c r="N12" s="44">
        <f>factordos*L12</f>
        <v>3213.9437113161275</v>
      </c>
      <c r="O12" s="44">
        <f>+M12+N12</f>
        <v>5110.3742515586855</v>
      </c>
      <c r="P12" s="44">
        <f>+O12-Q12</f>
        <v>5110.3742515586855</v>
      </c>
      <c r="Q12" s="44">
        <f>+IF(O12&gt;($Q$5*15),$Q$5*15,O12)</f>
        <v>0</v>
      </c>
      <c r="R12" s="44">
        <f>(((P12-(VLOOKUP(P12,TABLAC,1)))*VLOOKUP(P12,TABLAC,4))+(VLOOKUP(P12,TABLAC,3)))</f>
        <v>345.14502256958497</v>
      </c>
      <c r="S12" s="45">
        <f>+O12-R12</f>
        <v>4765.2292289891002</v>
      </c>
    </row>
    <row r="13" spans="1:19">
      <c r="A13" s="116">
        <v>6</v>
      </c>
      <c r="B13" s="117" t="s">
        <v>32</v>
      </c>
      <c r="C13" s="117" t="s">
        <v>56</v>
      </c>
      <c r="D13" s="117" t="s">
        <v>50</v>
      </c>
      <c r="E13" s="118">
        <v>41628</v>
      </c>
      <c r="F13" s="119">
        <v>41639</v>
      </c>
      <c r="G13" s="120">
        <v>12</v>
      </c>
      <c r="H13" s="120"/>
      <c r="I13" s="120"/>
      <c r="J13" s="121"/>
      <c r="K13" s="122"/>
      <c r="L13" s="123"/>
      <c r="M13" s="124"/>
      <c r="N13" s="124"/>
      <c r="O13" s="124"/>
      <c r="P13" s="124"/>
      <c r="Q13" s="124"/>
      <c r="R13" s="124"/>
      <c r="S13" s="125"/>
    </row>
    <row r="14" spans="1:19">
      <c r="A14" s="27">
        <v>7</v>
      </c>
      <c r="B14" s="28" t="s">
        <v>32</v>
      </c>
      <c r="C14" s="34" t="s">
        <v>57</v>
      </c>
      <c r="D14" s="34" t="s">
        <v>50</v>
      </c>
      <c r="E14" s="35">
        <v>40909</v>
      </c>
      <c r="F14" s="29">
        <v>41639</v>
      </c>
      <c r="G14" s="30">
        <v>365</v>
      </c>
      <c r="H14" s="30">
        <v>3</v>
      </c>
      <c r="I14" s="30">
        <f t="shared" si="0"/>
        <v>362</v>
      </c>
      <c r="J14" s="99">
        <f>I14*factoruno</f>
        <v>1880.8434399117973</v>
      </c>
      <c r="K14" s="106">
        <v>85</v>
      </c>
      <c r="L14" s="43">
        <f>K14*I14</f>
        <v>30770</v>
      </c>
      <c r="M14" s="44">
        <f>+factoruno*I14</f>
        <v>1880.8434399117973</v>
      </c>
      <c r="N14" s="44">
        <f>factordos*L14</f>
        <v>846.68705477052436</v>
      </c>
      <c r="O14" s="44">
        <f>+M14+N14</f>
        <v>2727.5304946823217</v>
      </c>
      <c r="P14" s="44">
        <f>+O14-Q14</f>
        <v>2727.5304946823217</v>
      </c>
      <c r="Q14" s="44">
        <f>+IF(O14&gt;($Q$5*15),$Q$5*15,O14)</f>
        <v>0</v>
      </c>
      <c r="R14" s="44">
        <f>(((P14-(VLOOKUP(P14,TABLAC,1)))*VLOOKUP(P14,TABLAC,4))+(VLOOKUP(P14,TABLAC,3)))</f>
        <v>152.33283165966861</v>
      </c>
      <c r="S14" s="45">
        <f>+O14-R14</f>
        <v>2575.1976630226532</v>
      </c>
    </row>
    <row r="15" spans="1:19">
      <c r="A15" s="37">
        <v>8</v>
      </c>
      <c r="B15" s="38"/>
      <c r="C15" s="38" t="s">
        <v>58</v>
      </c>
      <c r="D15" s="38" t="s">
        <v>51</v>
      </c>
      <c r="E15" s="39"/>
      <c r="F15" s="40">
        <v>41639</v>
      </c>
      <c r="G15" s="41"/>
      <c r="H15" s="41"/>
      <c r="I15" s="41"/>
      <c r="J15" s="101"/>
      <c r="K15" s="107"/>
      <c r="L15" s="102"/>
      <c r="M15" s="103"/>
      <c r="N15" s="103"/>
      <c r="O15" s="103"/>
      <c r="P15" s="103"/>
      <c r="Q15" s="103"/>
      <c r="R15" s="103"/>
      <c r="S15" s="104"/>
    </row>
    <row r="16" spans="1:19">
      <c r="A16" s="27">
        <v>9</v>
      </c>
      <c r="B16" s="28" t="s">
        <v>32</v>
      </c>
      <c r="C16" s="34" t="s">
        <v>59</v>
      </c>
      <c r="D16" s="34" t="s">
        <v>50</v>
      </c>
      <c r="E16" s="51">
        <v>39872</v>
      </c>
      <c r="F16" s="29">
        <v>41639</v>
      </c>
      <c r="G16" s="52">
        <v>365</v>
      </c>
      <c r="H16" s="52">
        <v>3</v>
      </c>
      <c r="I16" s="52">
        <f t="shared" si="0"/>
        <v>362</v>
      </c>
      <c r="J16" s="99">
        <f>I16*factoruno</f>
        <v>1880.8434399117973</v>
      </c>
      <c r="K16" s="105">
        <v>85</v>
      </c>
      <c r="L16" s="43">
        <f t="shared" ref="L16:L17" si="1">K16*I16</f>
        <v>30770</v>
      </c>
      <c r="M16" s="44">
        <f>+factoruno*I16</f>
        <v>1880.8434399117973</v>
      </c>
      <c r="N16" s="44">
        <f>factordos*L16</f>
        <v>846.68705477052436</v>
      </c>
      <c r="O16" s="44">
        <f t="shared" ref="O16:O17" si="2">+M16+N16</f>
        <v>2727.5304946823217</v>
      </c>
      <c r="P16" s="44">
        <f>+O16-Q16</f>
        <v>2727.5304946823217</v>
      </c>
      <c r="Q16" s="44">
        <f t="shared" ref="Q16:Q17" si="3">+IF(O16&gt;($Q$5*15),$Q$5*15,O16)</f>
        <v>0</v>
      </c>
      <c r="R16" s="44">
        <f>(((P16-(VLOOKUP(P16,TABLAC,1)))*VLOOKUP(P16,TABLAC,4))+(VLOOKUP(P16,TABLAC,3)))</f>
        <v>152.33283165966861</v>
      </c>
      <c r="S16" s="45">
        <f t="shared" ref="S16:S17" si="4">+O16-R16</f>
        <v>2575.1976630226532</v>
      </c>
    </row>
    <row r="17" spans="1:19">
      <c r="A17" s="27">
        <v>10</v>
      </c>
      <c r="B17" s="34" t="s">
        <v>33</v>
      </c>
      <c r="C17" s="34" t="s">
        <v>60</v>
      </c>
      <c r="D17" s="50" t="s">
        <v>45</v>
      </c>
      <c r="E17" s="51">
        <v>41029</v>
      </c>
      <c r="F17" s="29">
        <v>41603</v>
      </c>
      <c r="G17" s="52">
        <v>329</v>
      </c>
      <c r="H17" s="52">
        <v>7</v>
      </c>
      <c r="I17" s="52">
        <f t="shared" si="0"/>
        <v>322</v>
      </c>
      <c r="J17" s="99">
        <f>I17*factoruno</f>
        <v>1673.0154355016539</v>
      </c>
      <c r="K17" s="105">
        <v>130</v>
      </c>
      <c r="L17" s="43">
        <f t="shared" si="1"/>
        <v>41860</v>
      </c>
      <c r="M17" s="44">
        <f>+factoruno*I17</f>
        <v>1673.0154355016539</v>
      </c>
      <c r="N17" s="44">
        <f>factordos*L17</f>
        <v>1151.8466074973724</v>
      </c>
      <c r="O17" s="44">
        <f t="shared" si="2"/>
        <v>2824.862042999026</v>
      </c>
      <c r="P17" s="44">
        <f>+O17-Q17</f>
        <v>2824.862042999026</v>
      </c>
      <c r="Q17" s="44">
        <f t="shared" si="3"/>
        <v>0</v>
      </c>
      <c r="R17" s="44">
        <f>(((P17-(VLOOKUP(P17,TABLAC,1)))*VLOOKUP(P17,TABLAC,4))+(VLOOKUP(P17,TABLAC,3)))</f>
        <v>158.56205075193768</v>
      </c>
      <c r="S17" s="45">
        <f t="shared" si="4"/>
        <v>2666.2999922470885</v>
      </c>
    </row>
    <row r="18" spans="1:19">
      <c r="A18" s="49"/>
      <c r="B18" s="34"/>
      <c r="C18" s="34"/>
      <c r="D18" s="50"/>
      <c r="E18" s="51"/>
      <c r="F18" s="52"/>
      <c r="G18" s="52"/>
      <c r="H18" s="52"/>
      <c r="I18" s="52"/>
      <c r="J18" s="52"/>
      <c r="K18" s="105"/>
      <c r="L18" s="52"/>
      <c r="M18" s="52"/>
      <c r="N18" s="42"/>
      <c r="O18" s="42"/>
      <c r="P18" s="42"/>
      <c r="Q18" s="42"/>
      <c r="R18" s="42"/>
      <c r="S18" s="53"/>
    </row>
    <row r="19" spans="1:19">
      <c r="A19" s="49"/>
      <c r="B19" s="34"/>
      <c r="C19" s="34"/>
      <c r="D19" s="50"/>
      <c r="E19" s="51"/>
      <c r="F19" s="52"/>
      <c r="G19" s="52"/>
      <c r="H19" s="52"/>
      <c r="I19" s="52"/>
      <c r="J19" s="52"/>
      <c r="K19" s="105"/>
      <c r="L19" s="52"/>
      <c r="M19" s="52"/>
      <c r="N19" s="42"/>
      <c r="O19" s="42"/>
      <c r="P19" s="42"/>
      <c r="Q19" s="42"/>
      <c r="R19" s="42"/>
      <c r="S19" s="53"/>
    </row>
    <row r="20" spans="1:19">
      <c r="A20" s="49"/>
      <c r="B20" s="34"/>
      <c r="C20" s="34"/>
      <c r="D20" s="50"/>
      <c r="E20" s="51"/>
      <c r="F20" s="52"/>
      <c r="G20" s="52"/>
      <c r="H20" s="52"/>
      <c r="I20" s="52"/>
      <c r="J20" s="52"/>
      <c r="K20" s="105"/>
      <c r="L20" s="52"/>
      <c r="M20" s="52"/>
      <c r="N20" s="42"/>
      <c r="O20" s="42"/>
      <c r="P20" s="42"/>
      <c r="Q20" s="42"/>
      <c r="R20" s="42"/>
      <c r="S20" s="53"/>
    </row>
    <row r="21" spans="1:19">
      <c r="A21" s="49"/>
      <c r="B21" s="34"/>
      <c r="C21" s="34"/>
      <c r="D21" s="50"/>
      <c r="E21" s="51"/>
      <c r="F21" s="52"/>
      <c r="G21" s="52"/>
      <c r="H21" s="52"/>
      <c r="I21" s="52"/>
      <c r="J21" s="52"/>
      <c r="K21" s="105"/>
      <c r="L21" s="52"/>
      <c r="M21" s="52"/>
      <c r="N21" s="42"/>
      <c r="O21" s="42"/>
      <c r="P21" s="42"/>
      <c r="Q21" s="42"/>
      <c r="R21" s="42"/>
      <c r="S21" s="53"/>
    </row>
    <row r="22" spans="1:19">
      <c r="A22" s="59"/>
      <c r="D22" s="50"/>
      <c r="E22" s="51"/>
      <c r="F22" s="52"/>
      <c r="G22" s="52"/>
      <c r="H22" s="52"/>
      <c r="I22" s="52"/>
      <c r="J22" s="52"/>
      <c r="K22" s="105"/>
      <c r="L22" s="52"/>
      <c r="M22" s="52"/>
      <c r="N22" s="53"/>
      <c r="O22" s="53"/>
      <c r="P22" s="53"/>
      <c r="Q22" s="53"/>
      <c r="R22" s="53"/>
      <c r="S22" s="53"/>
    </row>
    <row r="23" spans="1:19">
      <c r="A23" s="59"/>
      <c r="B23" s="59"/>
      <c r="C23" s="59"/>
      <c r="D23" s="50"/>
      <c r="E23" s="51"/>
      <c r="F23" s="52"/>
      <c r="G23" s="52"/>
      <c r="H23" s="52"/>
      <c r="I23" s="52"/>
      <c r="J23" s="52"/>
      <c r="K23" s="105"/>
      <c r="L23" s="52"/>
      <c r="M23" s="52"/>
      <c r="N23" s="53"/>
      <c r="O23" s="53"/>
      <c r="P23" s="53"/>
      <c r="Q23" s="53"/>
      <c r="R23" s="53"/>
      <c r="S23" s="53"/>
    </row>
    <row r="24" spans="1:19">
      <c r="A24" s="60"/>
      <c r="B24" s="60"/>
      <c r="C24" s="60"/>
      <c r="D24" s="60"/>
      <c r="E24" s="60"/>
      <c r="F24" s="52"/>
      <c r="G24" s="52"/>
      <c r="H24" s="52"/>
      <c r="I24" s="52"/>
      <c r="J24" s="52"/>
      <c r="K24" s="105"/>
      <c r="L24" s="52"/>
      <c r="M24" s="52"/>
      <c r="N24" s="60"/>
      <c r="O24" s="60"/>
      <c r="P24" s="60"/>
      <c r="Q24" s="60"/>
      <c r="R24" s="60"/>
      <c r="S24" s="60"/>
    </row>
    <row r="25" spans="1:19">
      <c r="A25" s="60"/>
      <c r="B25" s="60"/>
      <c r="C25" s="60"/>
      <c r="D25" s="60"/>
      <c r="E25" s="60"/>
      <c r="F25" s="60"/>
      <c r="G25" s="62">
        <f>SUM(G16:G17)+SUM(G12:G14)+G10+G8</f>
        <v>1839</v>
      </c>
      <c r="H25" s="62">
        <f>SUM(H8:H24)</f>
        <v>13</v>
      </c>
      <c r="I25" s="62">
        <f>SUM(I8:I21)</f>
        <v>1814</v>
      </c>
      <c r="J25" s="63">
        <f>SUM(J8:J24)</f>
        <v>8676.8191841234839</v>
      </c>
      <c r="K25" s="61">
        <f>SUM(K8:K24)</f>
        <v>1150</v>
      </c>
      <c r="L25" s="64">
        <f>+SUM(L8:L24)</f>
        <v>342520</v>
      </c>
      <c r="M25" s="65">
        <f>+SUM(M8:M23)</f>
        <v>9425</v>
      </c>
      <c r="N25" s="64">
        <f>+SUM(N8:N23)</f>
        <v>9425</v>
      </c>
      <c r="O25" s="66">
        <f>+SUM(O8:O23)</f>
        <v>18850</v>
      </c>
      <c r="P25" s="64">
        <f>+SUM(P8:P23)</f>
        <v>18850</v>
      </c>
      <c r="Q25" s="67">
        <f>+SUM(Q8:Q23)</f>
        <v>0</v>
      </c>
      <c r="R25" s="64">
        <f>SUM(R8:R21)</f>
        <v>1113.3354704698293</v>
      </c>
      <c r="S25" s="64">
        <f>+SUM(S8:S22)</f>
        <v>17736.664529530171</v>
      </c>
    </row>
    <row r="27" spans="1:19">
      <c r="B27" s="34" t="s">
        <v>52</v>
      </c>
      <c r="C27" s="34">
        <v>130</v>
      </c>
    </row>
    <row r="28" spans="1:19">
      <c r="B28" s="38" t="s">
        <v>61</v>
      </c>
      <c r="C28" s="38">
        <v>95</v>
      </c>
      <c r="D28" t="s">
        <v>69</v>
      </c>
    </row>
    <row r="29" spans="1:19">
      <c r="B29" s="34" t="s">
        <v>53</v>
      </c>
      <c r="C29" s="34">
        <v>400</v>
      </c>
    </row>
    <row r="30" spans="1:19">
      <c r="B30" s="38" t="s">
        <v>54</v>
      </c>
      <c r="C30" s="38">
        <v>85</v>
      </c>
    </row>
    <row r="31" spans="1:19">
      <c r="B31" s="34" t="s">
        <v>55</v>
      </c>
      <c r="C31" s="34">
        <v>320</v>
      </c>
    </row>
    <row r="32" spans="1:19">
      <c r="B32" s="117" t="s">
        <v>56</v>
      </c>
      <c r="C32" s="117">
        <v>85</v>
      </c>
    </row>
    <row r="33" spans="2:4">
      <c r="B33" s="34" t="s">
        <v>57</v>
      </c>
      <c r="C33" s="34">
        <v>85</v>
      </c>
      <c r="D33" t="s">
        <v>66</v>
      </c>
    </row>
    <row r="34" spans="2:4">
      <c r="B34" s="38" t="s">
        <v>58</v>
      </c>
      <c r="C34" s="38">
        <v>1000</v>
      </c>
    </row>
    <row r="35" spans="2:4">
      <c r="B35" s="34" t="s">
        <v>59</v>
      </c>
      <c r="C35" s="34">
        <v>85</v>
      </c>
      <c r="D35" t="s">
        <v>67</v>
      </c>
    </row>
    <row r="36" spans="2:4">
      <c r="B36" s="34" t="s">
        <v>60</v>
      </c>
      <c r="C36" s="34">
        <v>130</v>
      </c>
      <c r="D36" t="s">
        <v>68</v>
      </c>
    </row>
    <row r="38" spans="2:4">
      <c r="B38" s="36" t="s">
        <v>65</v>
      </c>
    </row>
  </sheetData>
  <mergeCells count="7">
    <mergeCell ref="E5:I5"/>
    <mergeCell ref="J5:L5"/>
    <mergeCell ref="A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factordos</vt:lpstr>
      <vt:lpstr>factoruno</vt:lpstr>
      <vt:lpstr>TABLAC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m6016</dc:creator>
  <cp:lastModifiedBy>m6016</cp:lastModifiedBy>
  <dcterms:created xsi:type="dcterms:W3CDTF">2014-09-26T18:12:20Z</dcterms:created>
  <dcterms:modified xsi:type="dcterms:W3CDTF">2014-09-29T18:50:47Z</dcterms:modified>
</cp:coreProperties>
</file>