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6204\Desktop\"/>
    </mc:Choice>
  </mc:AlternateContent>
  <bookViews>
    <workbookView xWindow="0" yWindow="0" windowWidth="24000" windowHeight="9735" firstSheet="4" activeTab="10"/>
  </bookViews>
  <sheets>
    <sheet name="Ventas" sheetId="1" r:id="rId1"/>
    <sheet name="U. A. Prod" sheetId="2" r:id="rId2"/>
    <sheet name="Req. Materia prima" sheetId="3" r:id="rId3"/>
    <sheet name="Compras materia prima" sheetId="4" r:id="rId4"/>
    <sheet name="Mano de obra" sheetId="5" r:id="rId5"/>
    <sheet name="GIF" sheetId="6" r:id="rId6"/>
    <sheet name="EDO CTO" sheetId="7" r:id="rId7"/>
    <sheet name="Balance general" sheetId="8" r:id="rId8"/>
    <sheet name="Gastos de operación" sheetId="10" r:id="rId9"/>
    <sheet name="Estado de resultados" sheetId="9" r:id="rId10"/>
    <sheet name="Balance gral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1" l="1"/>
  <c r="E13" i="11"/>
  <c r="F16" i="11" s="1"/>
  <c r="F17" i="11" s="1"/>
  <c r="F10" i="11"/>
  <c r="D19" i="9" l="1"/>
  <c r="D18" i="9"/>
  <c r="D17" i="9"/>
  <c r="D16" i="9"/>
  <c r="D14" i="9"/>
  <c r="D10" i="9"/>
  <c r="D8" i="9"/>
  <c r="C10" i="10"/>
  <c r="D7" i="9"/>
  <c r="D5" i="9"/>
  <c r="D4" i="9"/>
  <c r="G16" i="7" l="1"/>
  <c r="F10" i="7"/>
  <c r="E10" i="7"/>
  <c r="G15" i="7"/>
  <c r="E13" i="7"/>
  <c r="F13" i="7"/>
  <c r="F12" i="7"/>
  <c r="E12" i="7"/>
  <c r="G11" i="7"/>
  <c r="G12" i="7"/>
  <c r="G10" i="7"/>
  <c r="G13" i="7" s="1"/>
  <c r="G14" i="7" s="1"/>
  <c r="F11" i="7"/>
  <c r="E11" i="7"/>
  <c r="G9" i="7"/>
  <c r="G16" i="6" l="1"/>
  <c r="F16" i="6"/>
  <c r="I7" i="6"/>
  <c r="E16" i="6"/>
  <c r="F14" i="5"/>
  <c r="F12" i="5"/>
  <c r="E11" i="5"/>
  <c r="E10" i="5"/>
  <c r="E12" i="5"/>
  <c r="E14" i="5" s="1"/>
  <c r="D14" i="5"/>
  <c r="D12" i="5"/>
  <c r="D11" i="5"/>
  <c r="D10" i="5"/>
  <c r="G13" i="4" l="1"/>
  <c r="F13" i="4"/>
  <c r="H11" i="4"/>
  <c r="H13" i="4"/>
  <c r="D15" i="4"/>
  <c r="G10" i="4"/>
  <c r="G12" i="4" s="1"/>
  <c r="G14" i="4" s="1"/>
  <c r="G16" i="4" s="1"/>
  <c r="E10" i="4"/>
  <c r="E12" i="4" s="1"/>
  <c r="E14" i="4" s="1"/>
  <c r="E16" i="4" s="1"/>
  <c r="G11" i="3"/>
  <c r="F9" i="3"/>
  <c r="F10" i="3" s="1"/>
  <c r="F12" i="3" s="1"/>
  <c r="E9" i="3"/>
  <c r="E10" i="3" s="1"/>
  <c r="D9" i="3"/>
  <c r="D10" i="3" s="1"/>
  <c r="D12" i="3" s="1"/>
  <c r="C9" i="3"/>
  <c r="G9" i="3" s="1"/>
  <c r="C8" i="3"/>
  <c r="G8" i="3" s="1"/>
  <c r="E12" i="3" l="1"/>
  <c r="F10" i="4"/>
  <c r="F12" i="4" s="1"/>
  <c r="F14" i="4" s="1"/>
  <c r="F16" i="4" s="1"/>
  <c r="C10" i="3"/>
  <c r="G10" i="3"/>
  <c r="F11" i="2"/>
  <c r="E11" i="2"/>
  <c r="E10" i="2"/>
  <c r="F10" i="2"/>
  <c r="F8" i="2"/>
  <c r="E12" i="2"/>
  <c r="E8" i="2"/>
  <c r="F12" i="2"/>
  <c r="D10" i="2"/>
  <c r="D12" i="2" s="1"/>
  <c r="D8" i="2"/>
  <c r="C12" i="2"/>
  <c r="C10" i="2"/>
  <c r="C8" i="2"/>
  <c r="I7" i="1"/>
  <c r="I6" i="1"/>
  <c r="F7" i="1"/>
  <c r="F6" i="1"/>
  <c r="C12" i="3" l="1"/>
  <c r="G12" i="3" s="1"/>
  <c r="D10" i="4"/>
  <c r="F8" i="1"/>
  <c r="I8" i="1"/>
  <c r="H10" i="4" l="1"/>
  <c r="D12" i="4"/>
  <c r="J8" i="1"/>
  <c r="D14" i="4" l="1"/>
  <c r="H12" i="4"/>
  <c r="H14" i="4" l="1"/>
  <c r="D16" i="4"/>
  <c r="H16" i="4" s="1"/>
</calcChain>
</file>

<file path=xl/sharedStrings.xml><?xml version="1.0" encoding="utf-8"?>
<sst xmlns="http://schemas.openxmlformats.org/spreadsheetml/2006/main" count="172" uniqueCount="137">
  <si>
    <t>Primer semestre</t>
  </si>
  <si>
    <t>Segundo semestre</t>
  </si>
  <si>
    <t>Venta</t>
  </si>
  <si>
    <t>Unidades</t>
  </si>
  <si>
    <t>Precio</t>
  </si>
  <si>
    <t>Total</t>
  </si>
  <si>
    <t>Delta</t>
  </si>
  <si>
    <t>Sigma</t>
  </si>
  <si>
    <t>Total de ventas presupuestadas</t>
  </si>
  <si>
    <t>Presupuesto maestro de la CIA X SA de CV 2014</t>
  </si>
  <si>
    <t>Presupuesto de unidades a producir</t>
  </si>
  <si>
    <t>Unidades a vender</t>
  </si>
  <si>
    <t>Total de unidades</t>
  </si>
  <si>
    <t>Inventario inicial de (U.T)</t>
  </si>
  <si>
    <t>Unidades a producir</t>
  </si>
  <si>
    <t>Inventario final deseado (U.T)</t>
  </si>
  <si>
    <t>Presupuesto de requerimiento de materia prima</t>
  </si>
  <si>
    <t>Req. Total</t>
  </si>
  <si>
    <t>Material A</t>
  </si>
  <si>
    <t>Material B</t>
  </si>
  <si>
    <t>M.P.</t>
  </si>
  <si>
    <t>Total req de M.P</t>
  </si>
  <si>
    <t>Precio por kgs</t>
  </si>
  <si>
    <t>Total req de M.P. $</t>
  </si>
  <si>
    <t>Presupuesto de compras de Mp</t>
  </si>
  <si>
    <t>PRIMER SEMESTRE</t>
  </si>
  <si>
    <t>SEGUNDO SEMESTRE</t>
  </si>
  <si>
    <t>COMPRAS</t>
  </si>
  <si>
    <t>TOTALES</t>
  </si>
  <si>
    <t>INVENTARIO FINAL DESEADO DE MATERIA PRIMA</t>
  </si>
  <si>
    <t>TOTAL DE MATERIA PRIMA</t>
  </si>
  <si>
    <t>INVENTARIO INICIAL DE MATERIA PRIMA</t>
  </si>
  <si>
    <t>PRECIO POR KILOGRAMO</t>
  </si>
  <si>
    <t>TOTAL A COMPRAR DE MATERIA PRIMA $</t>
  </si>
  <si>
    <t>TOTAL A COMPRAR DE MATERIA PRIMA (UNIDADES)</t>
  </si>
  <si>
    <t>MATERIAL A</t>
  </si>
  <si>
    <t>MATERIAL B</t>
  </si>
  <si>
    <t>REQUERIMIENTO DE MATERIA PRIMA EN PRODUCCION</t>
  </si>
  <si>
    <t>Presupuesto de mano de obra</t>
  </si>
  <si>
    <t>DELTA</t>
  </si>
  <si>
    <t xml:space="preserve">SIGMA </t>
  </si>
  <si>
    <t>TOTAL DE HORAS</t>
  </si>
  <si>
    <t>PRECIO POR HORA</t>
  </si>
  <si>
    <t>COSTO DE MANO DE OBRA</t>
  </si>
  <si>
    <t>PRIMER</t>
  </si>
  <si>
    <t>SEMESTRE</t>
  </si>
  <si>
    <t>SEGUNDO</t>
  </si>
  <si>
    <t>TOTAL DE</t>
  </si>
  <si>
    <t>MANO DE OBRA</t>
  </si>
  <si>
    <t>Presupuesto de gastos industriales de fabricación</t>
  </si>
  <si>
    <t>Depreciacion</t>
  </si>
  <si>
    <t>Supervision</t>
  </si>
  <si>
    <t>Seguro</t>
  </si>
  <si>
    <t>Mantenimiento</t>
  </si>
  <si>
    <t>Accesorios</t>
  </si>
  <si>
    <t>Energeticos</t>
  </si>
  <si>
    <t>Total de G.I.F.</t>
  </si>
  <si>
    <t>INV. INICIAL DE P.T.</t>
  </si>
  <si>
    <t>MATERIA PRIMA REQUERIDA</t>
  </si>
  <si>
    <t>GIF</t>
  </si>
  <si>
    <t>COSTO DE PRODUCCION</t>
  </si>
  <si>
    <t>DISPONIBLE</t>
  </si>
  <si>
    <t>INVENTARIO FINAL DE P.T.</t>
  </si>
  <si>
    <t>COSTO DE VENTA PRESUPUESTADO</t>
  </si>
  <si>
    <t>PRESUPUESTO DE COSTO DE PRODUCCIÓN  Y DE LO VENDIDO 2014</t>
  </si>
  <si>
    <t>Compañía X, S.A.</t>
  </si>
  <si>
    <t>Estado de situacion financiera al 31 de diciembre de 2013</t>
  </si>
  <si>
    <t xml:space="preserve">Activos </t>
  </si>
  <si>
    <t>Circulantes:</t>
  </si>
  <si>
    <t>Bancos</t>
  </si>
  <si>
    <t>Clientes</t>
  </si>
  <si>
    <t>Productos terminados</t>
  </si>
  <si>
    <t>Materia prima</t>
  </si>
  <si>
    <t>Total de circulante</t>
  </si>
  <si>
    <t>no circulantes:</t>
  </si>
  <si>
    <t>Terreno</t>
  </si>
  <si>
    <t>Edificio y equipo industrial</t>
  </si>
  <si>
    <t>Depreciacion acomulada</t>
  </si>
  <si>
    <t>Total de activos no circulantes</t>
  </si>
  <si>
    <t>Total de activos</t>
  </si>
  <si>
    <t>Pasivos</t>
  </si>
  <si>
    <t>A corto plazo:</t>
  </si>
  <si>
    <t>Proveedores</t>
  </si>
  <si>
    <t>Impuestos por pagar</t>
  </si>
  <si>
    <t>Total pasivo</t>
  </si>
  <si>
    <t>Capital contable:</t>
  </si>
  <si>
    <t>Capital aportado</t>
  </si>
  <si>
    <t>Capital ganado</t>
  </si>
  <si>
    <t>Total capital contable</t>
  </si>
  <si>
    <t>Pasivo mas capital contable</t>
  </si>
  <si>
    <t>TOTAL $</t>
  </si>
  <si>
    <t>Estado de resultados presupuestado 2014</t>
  </si>
  <si>
    <t>Ventas</t>
  </si>
  <si>
    <t>Costo de ventas</t>
  </si>
  <si>
    <t>Utilidad bruta</t>
  </si>
  <si>
    <t>Gastos de operación</t>
  </si>
  <si>
    <t>Costo integral de financiamiento</t>
  </si>
  <si>
    <t>Gastos financieros</t>
  </si>
  <si>
    <t>Productos financieros</t>
  </si>
  <si>
    <t>Utilidad antes de impuestos</t>
  </si>
  <si>
    <t>ISR</t>
  </si>
  <si>
    <t>PTU</t>
  </si>
  <si>
    <t>Utilidad neta</t>
  </si>
  <si>
    <t>Utilidad opercional</t>
  </si>
  <si>
    <t>Presupuesto de gastos de operación</t>
  </si>
  <si>
    <t>Sueldos</t>
  </si>
  <si>
    <t>Comisiones</t>
  </si>
  <si>
    <t>Publicidad</t>
  </si>
  <si>
    <t>Varios</t>
  </si>
  <si>
    <t>Presupuesto del estado de situación financiera</t>
  </si>
  <si>
    <t>ACTIVOS</t>
  </si>
  <si>
    <t>CIRCULANTES:</t>
  </si>
  <si>
    <t>BANCOS</t>
  </si>
  <si>
    <t>CLIENTES</t>
  </si>
  <si>
    <t>ALMACEN DE PRODUCTOS TERMINADOS</t>
  </si>
  <si>
    <t>ALMACEN DE MATERIA PRIMA</t>
  </si>
  <si>
    <t>TOTAL DE CIRCULANTE</t>
  </si>
  <si>
    <t>NO CIRCULANTES:</t>
  </si>
  <si>
    <t>TERRENO</t>
  </si>
  <si>
    <t>EDIFICIO Y EQUIPO INDUSTRIAL</t>
  </si>
  <si>
    <t>DEPRECIACION ACUMULADA</t>
  </si>
  <si>
    <t>TOTAL DE ACTIVOS NO CIRCULANTES</t>
  </si>
  <si>
    <t>TOTAL DE ACTIVOS</t>
  </si>
  <si>
    <t>Redaccion del</t>
  </si>
  <si>
    <t>problema</t>
  </si>
  <si>
    <t>PASIVOS</t>
  </si>
  <si>
    <t>A CORTO PLAZO:</t>
  </si>
  <si>
    <t>PROVEEDORES</t>
  </si>
  <si>
    <t>DOCUMENTOS POR PAGAR</t>
  </si>
  <si>
    <t>IMPUESTOS POR PAGAR</t>
  </si>
  <si>
    <t>TOTAL PASIVO</t>
  </si>
  <si>
    <t>CAPITAL CONTABLE:</t>
  </si>
  <si>
    <t>CAPITAL APORTADO</t>
  </si>
  <si>
    <t>CAPITAL GANADO</t>
  </si>
  <si>
    <t>UTILIDAD DEL EJERCICIO</t>
  </si>
  <si>
    <t>TOTAL CAPITAL CONTABLE</t>
  </si>
  <si>
    <t>PASIVO MAS CAPITAL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</si>
</sst>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0" borderId="1" xfId="1" applyFont="1" applyBorder="1"/>
    <xf numFmtId="44" fontId="0" fillId="0" borderId="0" xfId="0" applyNumberFormat="1"/>
    <xf numFmtId="0" fontId="0" fillId="0" borderId="0" xfId="0" applyBorder="1"/>
    <xf numFmtId="44" fontId="0" fillId="0" borderId="0" xfId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" xfId="0" applyNumberFormat="1" applyBorder="1"/>
    <xf numFmtId="44" fontId="0" fillId="0" borderId="0" xfId="1" applyFont="1"/>
    <xf numFmtId="0" fontId="0" fillId="3" borderId="0" xfId="0" applyFill="1"/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3" fillId="4" borderId="0" xfId="0" applyFont="1" applyFill="1"/>
    <xf numFmtId="4" fontId="0" fillId="4" borderId="10" xfId="0" applyNumberFormat="1" applyFill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4" fontId="0" fillId="4" borderId="0" xfId="0" applyNumberFormat="1" applyFill="1"/>
    <xf numFmtId="4" fontId="0" fillId="4" borderId="10" xfId="0" applyNumberFormat="1" applyFill="1" applyBorder="1"/>
    <xf numFmtId="4" fontId="0" fillId="4" borderId="0" xfId="0" applyNumberFormat="1" applyFill="1" applyBorder="1"/>
    <xf numFmtId="4" fontId="0" fillId="4" borderId="11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1" xfId="0" applyNumberFormat="1" applyFill="1" applyBorder="1"/>
    <xf numFmtId="0" fontId="0" fillId="2" borderId="1" xfId="0" applyFill="1" applyBorder="1"/>
    <xf numFmtId="44" fontId="0" fillId="0" borderId="10" xfId="0" applyNumberFormat="1" applyBorder="1"/>
    <xf numFmtId="0" fontId="2" fillId="0" borderId="0" xfId="0" applyFont="1" applyAlignment="1"/>
    <xf numFmtId="44" fontId="0" fillId="0" borderId="10" xfId="1" applyFont="1" applyBorder="1"/>
    <xf numFmtId="44" fontId="2" fillId="0" borderId="10" xfId="0" applyNumberFormat="1" applyFont="1" applyBorder="1"/>
    <xf numFmtId="9" fontId="0" fillId="0" borderId="0" xfId="0" applyNumberFormat="1"/>
    <xf numFmtId="0" fontId="0" fillId="5" borderId="0" xfId="0" applyFill="1"/>
    <xf numFmtId="44" fontId="3" fillId="5" borderId="0" xfId="0" applyNumberFormat="1" applyFont="1" applyFill="1"/>
    <xf numFmtId="0" fontId="3" fillId="5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4" fontId="0" fillId="6" borderId="1" xfId="1" applyFont="1" applyFill="1" applyBorder="1"/>
    <xf numFmtId="0" fontId="0" fillId="6" borderId="1" xfId="0" applyFill="1" applyBorder="1"/>
    <xf numFmtId="0" fontId="0" fillId="6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2"/>
  <sheetViews>
    <sheetView workbookViewId="0">
      <selection activeCell="C22" sqref="C22"/>
    </sheetView>
  </sheetViews>
  <sheetFormatPr baseColWidth="10" defaultRowHeight="15" x14ac:dyDescent="0.25"/>
  <cols>
    <col min="3" max="3" width="29.28515625" bestFit="1" customWidth="1"/>
    <col min="4" max="4" width="11.42578125" style="1"/>
    <col min="5" max="5" width="11.5703125" style="1" bestFit="1" customWidth="1"/>
    <col min="6" max="6" width="14.140625" style="1" bestFit="1" customWidth="1"/>
    <col min="7" max="8" width="11.42578125" style="1"/>
    <col min="9" max="10" width="14.140625" style="1" bestFit="1" customWidth="1"/>
  </cols>
  <sheetData>
    <row r="3" spans="3:10" x14ac:dyDescent="0.25">
      <c r="C3" s="2"/>
      <c r="D3" s="46" t="s">
        <v>0</v>
      </c>
      <c r="E3" s="46"/>
      <c r="F3" s="46"/>
      <c r="G3" s="46" t="s">
        <v>1</v>
      </c>
      <c r="H3" s="46"/>
      <c r="I3" s="46"/>
      <c r="J3" s="6" t="s">
        <v>2</v>
      </c>
    </row>
    <row r="4" spans="3:10" x14ac:dyDescent="0.25">
      <c r="C4" s="2"/>
      <c r="D4" s="3" t="s">
        <v>3</v>
      </c>
      <c r="E4" s="3" t="s">
        <v>4</v>
      </c>
      <c r="F4" s="3" t="s">
        <v>2</v>
      </c>
      <c r="G4" s="3" t="s">
        <v>3</v>
      </c>
      <c r="H4" s="3" t="s">
        <v>4</v>
      </c>
      <c r="I4" s="3" t="s">
        <v>2</v>
      </c>
      <c r="J4" s="3" t="s">
        <v>5</v>
      </c>
    </row>
    <row r="5" spans="3:10" x14ac:dyDescent="0.25">
      <c r="C5" s="2"/>
      <c r="D5" s="3"/>
      <c r="E5" s="3"/>
      <c r="F5" s="3"/>
      <c r="G5" s="3"/>
      <c r="H5" s="3"/>
      <c r="I5" s="3"/>
      <c r="J5" s="3"/>
    </row>
    <row r="6" spans="3:10" x14ac:dyDescent="0.25">
      <c r="C6" s="2" t="s">
        <v>6</v>
      </c>
      <c r="D6" s="3">
        <v>2000</v>
      </c>
      <c r="E6" s="4">
        <v>600</v>
      </c>
      <c r="F6" s="4">
        <f>E6*D6</f>
        <v>1200000</v>
      </c>
      <c r="G6" s="3">
        <v>2000</v>
      </c>
      <c r="H6" s="4">
        <v>720</v>
      </c>
      <c r="I6" s="4">
        <f>H6*G6</f>
        <v>1440000</v>
      </c>
      <c r="J6" s="3"/>
    </row>
    <row r="7" spans="3:10" x14ac:dyDescent="0.25">
      <c r="C7" s="2" t="s">
        <v>7</v>
      </c>
      <c r="D7" s="3">
        <v>3000</v>
      </c>
      <c r="E7" s="4">
        <v>700</v>
      </c>
      <c r="F7" s="4">
        <f>E7*D7</f>
        <v>2100000</v>
      </c>
      <c r="G7" s="3">
        <v>3000</v>
      </c>
      <c r="H7" s="4">
        <v>840</v>
      </c>
      <c r="I7" s="4">
        <f>H7*G7</f>
        <v>2520000</v>
      </c>
      <c r="J7" s="3"/>
    </row>
    <row r="8" spans="3:10" x14ac:dyDescent="0.25">
      <c r="C8" s="2" t="s">
        <v>8</v>
      </c>
      <c r="D8" s="3"/>
      <c r="E8" s="3"/>
      <c r="F8" s="5">
        <f>F7+F6</f>
        <v>3300000</v>
      </c>
      <c r="G8" s="3"/>
      <c r="H8" s="4"/>
      <c r="I8" s="5">
        <f>I7+I6</f>
        <v>3960000</v>
      </c>
      <c r="J8" s="5">
        <f>F8+I8</f>
        <v>7260000</v>
      </c>
    </row>
    <row r="10" spans="3:10" x14ac:dyDescent="0.25">
      <c r="H10" s="7"/>
      <c r="I10" s="7"/>
      <c r="J10" s="7"/>
    </row>
    <row r="12" spans="3:10" x14ac:dyDescent="0.25">
      <c r="H12" s="7"/>
      <c r="I12" s="7"/>
      <c r="J12" s="7"/>
    </row>
  </sheetData>
  <mergeCells count="2">
    <mergeCell ref="D3:F3"/>
    <mergeCell ref="G3:I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H13" sqref="H13"/>
    </sheetView>
  </sheetViews>
  <sheetFormatPr baseColWidth="10" defaultRowHeight="15" x14ac:dyDescent="0.25"/>
  <cols>
    <col min="2" max="2" width="30.28515625" bestFit="1" customWidth="1"/>
    <col min="4" max="4" width="14.140625" bestFit="1" customWidth="1"/>
    <col min="5" max="5" width="9" customWidth="1"/>
  </cols>
  <sheetData>
    <row r="2" spans="2:6" x14ac:dyDescent="0.25">
      <c r="B2" s="49" t="s">
        <v>91</v>
      </c>
      <c r="C2" s="49"/>
      <c r="D2" s="49"/>
      <c r="E2" s="49"/>
      <c r="F2" s="39"/>
    </row>
    <row r="4" spans="2:6" x14ac:dyDescent="0.25">
      <c r="B4" t="s">
        <v>92</v>
      </c>
      <c r="D4" s="12">
        <f>Ventas!J8</f>
        <v>7260000</v>
      </c>
    </row>
    <row r="5" spans="2:6" x14ac:dyDescent="0.25">
      <c r="B5" t="s">
        <v>93</v>
      </c>
      <c r="D5" s="38">
        <f>'EDO CTO'!G16</f>
        <v>5224800</v>
      </c>
    </row>
    <row r="7" spans="2:6" x14ac:dyDescent="0.25">
      <c r="B7" t="s">
        <v>94</v>
      </c>
      <c r="D7" s="12">
        <f>D4-D5</f>
        <v>2035200</v>
      </c>
    </row>
    <row r="8" spans="2:6" x14ac:dyDescent="0.25">
      <c r="B8" t="s">
        <v>95</v>
      </c>
      <c r="D8" s="38">
        <f>'Gastos de operación'!C10</f>
        <v>650000</v>
      </c>
    </row>
    <row r="10" spans="2:6" x14ac:dyDescent="0.25">
      <c r="B10" t="s">
        <v>103</v>
      </c>
      <c r="D10" s="12">
        <f>D7-D8</f>
        <v>1385200</v>
      </c>
    </row>
    <row r="12" spans="2:6" x14ac:dyDescent="0.25">
      <c r="B12" t="s">
        <v>96</v>
      </c>
    </row>
    <row r="13" spans="2:6" x14ac:dyDescent="0.25">
      <c r="B13" t="s">
        <v>97</v>
      </c>
      <c r="C13" s="22">
        <v>30000</v>
      </c>
    </row>
    <row r="14" spans="2:6" x14ac:dyDescent="0.25">
      <c r="B14" t="s">
        <v>98</v>
      </c>
      <c r="C14" s="40">
        <v>0</v>
      </c>
      <c r="D14" s="41">
        <f>C13-C14</f>
        <v>30000</v>
      </c>
    </row>
    <row r="16" spans="2:6" x14ac:dyDescent="0.25">
      <c r="B16" t="s">
        <v>99</v>
      </c>
      <c r="D16" s="12">
        <f>D10-D14</f>
        <v>1355200</v>
      </c>
    </row>
    <row r="17" spans="2:5" x14ac:dyDescent="0.25">
      <c r="B17" t="s">
        <v>100</v>
      </c>
      <c r="D17" s="12">
        <f>D16*0.3</f>
        <v>406560</v>
      </c>
      <c r="E17" s="42">
        <v>0.3</v>
      </c>
    </row>
    <row r="18" spans="2:5" x14ac:dyDescent="0.25">
      <c r="B18" t="s">
        <v>101</v>
      </c>
      <c r="D18" s="12">
        <f>D16*0.1</f>
        <v>135520</v>
      </c>
      <c r="E18" s="42">
        <v>0.1</v>
      </c>
    </row>
    <row r="19" spans="2:5" x14ac:dyDescent="0.25">
      <c r="B19" s="45" t="s">
        <v>102</v>
      </c>
      <c r="C19" s="43"/>
      <c r="D19" s="44">
        <f>D16-D17-D18</f>
        <v>813120</v>
      </c>
    </row>
  </sheetData>
  <mergeCells count="1">
    <mergeCell ref="B2:E2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workbookViewId="0">
      <selection activeCell="M14" sqref="M14"/>
    </sheetView>
  </sheetViews>
  <sheetFormatPr baseColWidth="10" defaultRowHeight="15" x14ac:dyDescent="0.25"/>
  <cols>
    <col min="2" max="2" width="13.28515625" bestFit="1" customWidth="1"/>
    <col min="3" max="3" width="36.7109375" bestFit="1" customWidth="1"/>
    <col min="4" max="6" width="14.140625" bestFit="1" customWidth="1"/>
  </cols>
  <sheetData>
    <row r="2" spans="2:6" x14ac:dyDescent="0.25">
      <c r="C2" s="49" t="s">
        <v>109</v>
      </c>
      <c r="D2" s="49"/>
      <c r="E2" s="49"/>
      <c r="F2" s="49"/>
    </row>
    <row r="3" spans="2:6" x14ac:dyDescent="0.25">
      <c r="C3" s="2"/>
      <c r="D3" s="2"/>
      <c r="E3" s="2"/>
      <c r="F3" s="2"/>
    </row>
    <row r="4" spans="2:6" x14ac:dyDescent="0.25">
      <c r="C4" s="2" t="s">
        <v>110</v>
      </c>
      <c r="D4" s="2"/>
      <c r="E4" s="2"/>
      <c r="F4" s="2"/>
    </row>
    <row r="5" spans="2:6" x14ac:dyDescent="0.25">
      <c r="C5" s="2" t="s">
        <v>111</v>
      </c>
      <c r="D5" s="2"/>
      <c r="E5" s="2"/>
      <c r="F5" s="2"/>
    </row>
    <row r="6" spans="2:6" x14ac:dyDescent="0.25">
      <c r="C6" s="2" t="s">
        <v>112</v>
      </c>
      <c r="D6" s="2"/>
      <c r="E6" s="11">
        <v>50000</v>
      </c>
      <c r="F6" s="2"/>
    </row>
    <row r="7" spans="2:6" x14ac:dyDescent="0.25">
      <c r="C7" s="2" t="s">
        <v>113</v>
      </c>
      <c r="D7" s="2"/>
      <c r="E7" s="11">
        <v>726000</v>
      </c>
      <c r="F7" s="2"/>
    </row>
    <row r="8" spans="2:6" x14ac:dyDescent="0.25">
      <c r="C8" s="2" t="s">
        <v>114</v>
      </c>
      <c r="D8" s="2"/>
      <c r="E8" s="11">
        <v>241200</v>
      </c>
      <c r="F8" s="2"/>
    </row>
    <row r="9" spans="2:6" x14ac:dyDescent="0.25">
      <c r="C9" s="2" t="s">
        <v>115</v>
      </c>
      <c r="D9" s="2"/>
      <c r="E9" s="11">
        <v>128000</v>
      </c>
      <c r="F9" s="2"/>
    </row>
    <row r="10" spans="2:6" x14ac:dyDescent="0.25">
      <c r="C10" s="2" t="s">
        <v>116</v>
      </c>
      <c r="D10" s="2"/>
      <c r="E10" s="2"/>
      <c r="F10" s="11">
        <f>SUM(E6:E9)</f>
        <v>1145200</v>
      </c>
    </row>
    <row r="11" spans="2:6" x14ac:dyDescent="0.25">
      <c r="C11" s="2"/>
      <c r="D11" s="2"/>
      <c r="E11" s="2"/>
      <c r="F11" s="2"/>
    </row>
    <row r="12" spans="2:6" x14ac:dyDescent="0.25">
      <c r="C12" s="2" t="s">
        <v>117</v>
      </c>
      <c r="D12" s="2"/>
      <c r="E12" s="2"/>
      <c r="F12" s="2"/>
    </row>
    <row r="13" spans="2:6" x14ac:dyDescent="0.25">
      <c r="C13" s="2" t="s">
        <v>118</v>
      </c>
      <c r="D13" s="2"/>
      <c r="E13" s="11">
        <f>758700</f>
        <v>758700</v>
      </c>
      <c r="F13" s="2"/>
    </row>
    <row r="14" spans="2:6" x14ac:dyDescent="0.25">
      <c r="B14" s="58" t="s">
        <v>123</v>
      </c>
      <c r="C14" s="57" t="s">
        <v>119</v>
      </c>
      <c r="D14" s="56">
        <v>2000000</v>
      </c>
      <c r="E14" s="2"/>
      <c r="F14" s="2"/>
    </row>
    <row r="15" spans="2:6" x14ac:dyDescent="0.25">
      <c r="B15" s="58" t="s">
        <v>124</v>
      </c>
      <c r="C15" s="57" t="s">
        <v>120</v>
      </c>
      <c r="D15" s="56">
        <v>687500</v>
      </c>
      <c r="E15" s="21">
        <f>D14-D15</f>
        <v>1312500</v>
      </c>
      <c r="F15" s="2"/>
    </row>
    <row r="16" spans="2:6" x14ac:dyDescent="0.25">
      <c r="C16" s="2" t="s">
        <v>121</v>
      </c>
      <c r="D16" s="2"/>
      <c r="E16" s="2"/>
      <c r="F16" s="21">
        <f>E15+E13</f>
        <v>2071200</v>
      </c>
    </row>
    <row r="17" spans="3:6" x14ac:dyDescent="0.25">
      <c r="C17" s="2" t="s">
        <v>122</v>
      </c>
      <c r="D17" s="2"/>
      <c r="E17" s="2"/>
      <c r="F17" s="21">
        <f>F16+F10</f>
        <v>3216400</v>
      </c>
    </row>
    <row r="18" spans="3:6" x14ac:dyDescent="0.25">
      <c r="C18" s="2"/>
      <c r="D18" s="2"/>
      <c r="E18" s="2"/>
      <c r="F18" s="2"/>
    </row>
    <row r="19" spans="3:6" x14ac:dyDescent="0.25">
      <c r="C19" s="2" t="s">
        <v>125</v>
      </c>
      <c r="D19" s="2"/>
      <c r="E19" s="2"/>
      <c r="F19" s="2"/>
    </row>
    <row r="20" spans="3:6" x14ac:dyDescent="0.25">
      <c r="C20" s="2" t="s">
        <v>126</v>
      </c>
      <c r="D20" s="2"/>
      <c r="E20" s="2"/>
      <c r="F20" s="2"/>
    </row>
    <row r="21" spans="3:6" x14ac:dyDescent="0.25">
      <c r="C21" s="2" t="s">
        <v>127</v>
      </c>
      <c r="D21" s="2"/>
      <c r="E21" s="2"/>
      <c r="F21" s="2"/>
    </row>
    <row r="22" spans="3:6" x14ac:dyDescent="0.25">
      <c r="C22" s="2" t="s">
        <v>128</v>
      </c>
      <c r="D22" s="2"/>
      <c r="E22" s="2"/>
      <c r="F22" s="2"/>
    </row>
    <row r="23" spans="3:6" x14ac:dyDescent="0.25">
      <c r="C23" s="2" t="s">
        <v>129</v>
      </c>
      <c r="D23" s="2"/>
      <c r="E23" s="2"/>
      <c r="F23" s="2"/>
    </row>
    <row r="24" spans="3:6" x14ac:dyDescent="0.25">
      <c r="C24" s="2" t="s">
        <v>130</v>
      </c>
      <c r="D24" s="2"/>
      <c r="E24" s="2"/>
      <c r="F24" s="2"/>
    </row>
    <row r="25" spans="3:6" x14ac:dyDescent="0.25">
      <c r="C25" s="2"/>
      <c r="D25" s="2"/>
      <c r="E25" s="2"/>
      <c r="F25" s="2"/>
    </row>
    <row r="26" spans="3:6" x14ac:dyDescent="0.25">
      <c r="C26" s="2" t="s">
        <v>131</v>
      </c>
      <c r="D26" s="2"/>
      <c r="E26" s="2"/>
      <c r="F26" s="2"/>
    </row>
    <row r="27" spans="3:6" x14ac:dyDescent="0.25">
      <c r="C27" s="2" t="s">
        <v>132</v>
      </c>
      <c r="D27" s="2"/>
      <c r="E27" s="2"/>
      <c r="F27" s="2"/>
    </row>
    <row r="28" spans="3:6" x14ac:dyDescent="0.25">
      <c r="C28" s="2" t="s">
        <v>133</v>
      </c>
      <c r="D28" s="2"/>
      <c r="E28" s="2"/>
      <c r="F28" s="2"/>
    </row>
    <row r="29" spans="3:6" x14ac:dyDescent="0.25">
      <c r="C29" s="2" t="s">
        <v>134</v>
      </c>
      <c r="D29" s="2"/>
      <c r="E29" s="2"/>
      <c r="F29" s="2"/>
    </row>
    <row r="30" spans="3:6" x14ac:dyDescent="0.25">
      <c r="C30" s="2"/>
      <c r="D30" s="2"/>
      <c r="E30" s="2"/>
      <c r="F30" s="2"/>
    </row>
    <row r="31" spans="3:6" x14ac:dyDescent="0.25">
      <c r="C31" s="2"/>
      <c r="D31" s="2"/>
      <c r="E31" s="2"/>
      <c r="F31" s="2"/>
    </row>
    <row r="32" spans="3:6" x14ac:dyDescent="0.25">
      <c r="C32" s="2" t="s">
        <v>135</v>
      </c>
      <c r="D32" s="2"/>
      <c r="E32" s="2"/>
      <c r="F32" s="2"/>
    </row>
    <row r="33" spans="3:6" x14ac:dyDescent="0.25">
      <c r="C33" s="2" t="s">
        <v>136</v>
      </c>
      <c r="D33" s="2"/>
      <c r="E33" s="2"/>
      <c r="F33" s="2"/>
    </row>
  </sheetData>
  <mergeCells count="1">
    <mergeCell ref="C2:F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workbookViewId="0">
      <selection activeCell="C19" sqref="C19"/>
    </sheetView>
  </sheetViews>
  <sheetFormatPr baseColWidth="10" defaultRowHeight="15" x14ac:dyDescent="0.25"/>
  <cols>
    <col min="2" max="2" width="27.7109375" bestFit="1" customWidth="1"/>
  </cols>
  <sheetData>
    <row r="3" spans="2:6" x14ac:dyDescent="0.25">
      <c r="B3" s="49" t="s">
        <v>9</v>
      </c>
      <c r="C3" s="49"/>
      <c r="D3" s="49"/>
      <c r="E3" s="49"/>
      <c r="F3" s="49"/>
    </row>
    <row r="5" spans="2:6" x14ac:dyDescent="0.25">
      <c r="B5" s="49" t="s">
        <v>10</v>
      </c>
      <c r="C5" s="49"/>
      <c r="D5" s="49"/>
      <c r="E5" s="49"/>
      <c r="F5" s="49"/>
    </row>
    <row r="6" spans="2:6" x14ac:dyDescent="0.25">
      <c r="C6" s="47" t="s">
        <v>0</v>
      </c>
      <c r="D6" s="48"/>
      <c r="E6" s="47" t="s">
        <v>1</v>
      </c>
      <c r="F6" s="48"/>
    </row>
    <row r="7" spans="2:6" x14ac:dyDescent="0.25">
      <c r="C7" s="3" t="s">
        <v>6</v>
      </c>
      <c r="D7" s="3" t="s">
        <v>7</v>
      </c>
      <c r="E7" s="3" t="s">
        <v>6</v>
      </c>
      <c r="F7" s="3" t="s">
        <v>7</v>
      </c>
    </row>
    <row r="8" spans="2:6" x14ac:dyDescent="0.25">
      <c r="B8" s="2" t="s">
        <v>11</v>
      </c>
      <c r="C8" s="3">
        <f>Ventas!D6</f>
        <v>2000</v>
      </c>
      <c r="D8" s="3">
        <f>Ventas!D7</f>
        <v>3000</v>
      </c>
      <c r="E8" s="3">
        <f>Ventas!G6</f>
        <v>2000</v>
      </c>
      <c r="F8" s="3">
        <f>Ventas!G7</f>
        <v>3000</v>
      </c>
    </row>
    <row r="9" spans="2:6" x14ac:dyDescent="0.25">
      <c r="B9" s="2" t="s">
        <v>15</v>
      </c>
      <c r="C9" s="3">
        <v>300</v>
      </c>
      <c r="D9" s="3">
        <v>150</v>
      </c>
      <c r="E9" s="3">
        <v>300</v>
      </c>
      <c r="F9" s="3">
        <v>150</v>
      </c>
    </row>
    <row r="10" spans="2:6" x14ac:dyDescent="0.25">
      <c r="B10" s="2" t="s">
        <v>12</v>
      </c>
      <c r="C10" s="3">
        <f>C9+C8</f>
        <v>2300</v>
      </c>
      <c r="D10" s="3">
        <f>D8+D9</f>
        <v>3150</v>
      </c>
      <c r="E10" s="3">
        <f t="shared" ref="E10:F10" si="0">E8+E9</f>
        <v>2300</v>
      </c>
      <c r="F10" s="3">
        <f t="shared" si="0"/>
        <v>3150</v>
      </c>
    </row>
    <row r="11" spans="2:6" x14ac:dyDescent="0.25">
      <c r="B11" s="2" t="s">
        <v>13</v>
      </c>
      <c r="C11" s="3">
        <v>200</v>
      </c>
      <c r="D11" s="3">
        <v>400</v>
      </c>
      <c r="E11" s="3">
        <f>C9</f>
        <v>300</v>
      </c>
      <c r="F11" s="3">
        <f>D9</f>
        <v>150</v>
      </c>
    </row>
    <row r="12" spans="2:6" x14ac:dyDescent="0.25">
      <c r="B12" s="2" t="s">
        <v>14</v>
      </c>
      <c r="C12" s="3">
        <f>C10-C11</f>
        <v>2100</v>
      </c>
      <c r="D12" s="3">
        <f t="shared" ref="D12:F12" si="1">D10-D11</f>
        <v>2750</v>
      </c>
      <c r="E12" s="3">
        <f t="shared" si="1"/>
        <v>2000</v>
      </c>
      <c r="F12" s="3">
        <f t="shared" si="1"/>
        <v>3000</v>
      </c>
    </row>
  </sheetData>
  <mergeCells count="4">
    <mergeCell ref="E6:F6"/>
    <mergeCell ref="C6:D6"/>
    <mergeCell ref="B5:F5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2"/>
  <sheetViews>
    <sheetView workbookViewId="0">
      <selection activeCell="G28" sqref="G28"/>
    </sheetView>
  </sheetViews>
  <sheetFormatPr baseColWidth="10" defaultRowHeight="15" x14ac:dyDescent="0.25"/>
  <cols>
    <col min="2" max="2" width="17.7109375" bestFit="1" customWidth="1"/>
    <col min="3" max="6" width="12.5703125" bestFit="1" customWidth="1"/>
    <col min="7" max="7" width="14.140625" bestFit="1" customWidth="1"/>
  </cols>
  <sheetData>
    <row r="4" spans="2:7" x14ac:dyDescent="0.25">
      <c r="B4" s="49" t="s">
        <v>16</v>
      </c>
      <c r="C4" s="49"/>
      <c r="D4" s="49"/>
      <c r="E4" s="49"/>
      <c r="F4" s="49"/>
      <c r="G4" s="49"/>
    </row>
    <row r="6" spans="2:7" x14ac:dyDescent="0.25">
      <c r="C6" s="46" t="s">
        <v>0</v>
      </c>
      <c r="D6" s="46"/>
      <c r="E6" s="46" t="s">
        <v>1</v>
      </c>
      <c r="F6" s="46"/>
      <c r="G6" s="6" t="s">
        <v>17</v>
      </c>
    </row>
    <row r="7" spans="2:7" x14ac:dyDescent="0.25">
      <c r="C7" s="6" t="s">
        <v>18</v>
      </c>
      <c r="D7" s="8" t="s">
        <v>19</v>
      </c>
      <c r="E7" s="8" t="s">
        <v>18</v>
      </c>
      <c r="F7" s="8" t="s">
        <v>19</v>
      </c>
      <c r="G7" s="6" t="s">
        <v>20</v>
      </c>
    </row>
    <row r="8" spans="2:7" x14ac:dyDescent="0.25">
      <c r="B8" s="8" t="s">
        <v>6</v>
      </c>
      <c r="C8" s="3">
        <f>2100*2</f>
        <v>4200</v>
      </c>
      <c r="D8" s="3">
        <v>2100</v>
      </c>
      <c r="E8" s="3">
        <v>4000</v>
      </c>
      <c r="F8" s="3">
        <v>2000</v>
      </c>
      <c r="G8" s="3">
        <f>SUM(C8:F8)</f>
        <v>12300</v>
      </c>
    </row>
    <row r="9" spans="2:7" x14ac:dyDescent="0.25">
      <c r="B9" s="8" t="s">
        <v>7</v>
      </c>
      <c r="C9" s="3">
        <f>2750*4</f>
        <v>11000</v>
      </c>
      <c r="D9" s="3">
        <f>2750*2</f>
        <v>5500</v>
      </c>
      <c r="E9" s="3">
        <f>4000*3</f>
        <v>12000</v>
      </c>
      <c r="F9" s="3">
        <f>2000*3</f>
        <v>6000</v>
      </c>
      <c r="G9" s="3">
        <f>SUM(C9:F9)</f>
        <v>34500</v>
      </c>
    </row>
    <row r="10" spans="2:7" x14ac:dyDescent="0.25">
      <c r="B10" s="8" t="s">
        <v>21</v>
      </c>
      <c r="C10" s="3">
        <f>C9+C8</f>
        <v>15200</v>
      </c>
      <c r="D10" s="3">
        <f>D9+D8</f>
        <v>7600</v>
      </c>
      <c r="E10" s="3">
        <f>E9+E8</f>
        <v>16000</v>
      </c>
      <c r="F10" s="3">
        <f>F9+F8</f>
        <v>8000</v>
      </c>
      <c r="G10" s="3">
        <f>SUM(C10:F10)</f>
        <v>46800</v>
      </c>
    </row>
    <row r="11" spans="2:7" x14ac:dyDescent="0.25">
      <c r="B11" s="8" t="s">
        <v>22</v>
      </c>
      <c r="C11" s="4">
        <v>20</v>
      </c>
      <c r="D11" s="4">
        <v>40</v>
      </c>
      <c r="E11" s="4">
        <v>26</v>
      </c>
      <c r="F11" s="4">
        <v>50</v>
      </c>
      <c r="G11" s="4">
        <f>SUM(C11:F11)</f>
        <v>136</v>
      </c>
    </row>
    <row r="12" spans="2:7" x14ac:dyDescent="0.25">
      <c r="B12" s="8" t="s">
        <v>23</v>
      </c>
      <c r="C12" s="4">
        <f>C11*C10</f>
        <v>304000</v>
      </c>
      <c r="D12" s="4">
        <f>D11*D10</f>
        <v>304000</v>
      </c>
      <c r="E12" s="4">
        <f>E11*E10</f>
        <v>416000</v>
      </c>
      <c r="F12" s="4">
        <f>F11*F10</f>
        <v>400000</v>
      </c>
      <c r="G12" s="4">
        <f>SUM(C12:F12)</f>
        <v>1424000</v>
      </c>
    </row>
  </sheetData>
  <mergeCells count="3">
    <mergeCell ref="C6:D6"/>
    <mergeCell ref="E6:F6"/>
    <mergeCell ref="B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6"/>
  <sheetViews>
    <sheetView workbookViewId="0">
      <selection activeCell="C25" sqref="C25"/>
    </sheetView>
  </sheetViews>
  <sheetFormatPr baseColWidth="10" defaultRowHeight="15" x14ac:dyDescent="0.25"/>
  <cols>
    <col min="3" max="3" width="49.42578125" bestFit="1" customWidth="1"/>
    <col min="4" max="7" width="12.5703125" bestFit="1" customWidth="1"/>
    <col min="8" max="8" width="16.7109375" customWidth="1"/>
    <col min="9" max="9" width="14.140625" bestFit="1" customWidth="1"/>
  </cols>
  <sheetData>
    <row r="4" spans="3:9" x14ac:dyDescent="0.25">
      <c r="C4" s="49" t="s">
        <v>9</v>
      </c>
      <c r="D4" s="49"/>
      <c r="E4" s="49"/>
      <c r="F4" s="49"/>
      <c r="G4" s="49"/>
      <c r="H4" s="49"/>
    </row>
    <row r="6" spans="3:9" x14ac:dyDescent="0.25">
      <c r="C6" s="49" t="s">
        <v>24</v>
      </c>
      <c r="D6" s="49"/>
      <c r="E6" s="49"/>
      <c r="F6" s="49"/>
      <c r="G6" s="49"/>
      <c r="H6" s="49"/>
    </row>
    <row r="8" spans="3:9" x14ac:dyDescent="0.25">
      <c r="D8" s="50" t="s">
        <v>25</v>
      </c>
      <c r="E8" s="50"/>
      <c r="F8" s="50" t="s">
        <v>26</v>
      </c>
      <c r="G8" s="51"/>
      <c r="H8" s="9" t="s">
        <v>27</v>
      </c>
    </row>
    <row r="9" spans="3:9" x14ac:dyDescent="0.25">
      <c r="D9" s="2" t="s">
        <v>35</v>
      </c>
      <c r="E9" s="2" t="s">
        <v>36</v>
      </c>
      <c r="F9" s="2" t="s">
        <v>35</v>
      </c>
      <c r="G9" s="2" t="s">
        <v>36</v>
      </c>
      <c r="H9" s="10" t="s">
        <v>28</v>
      </c>
    </row>
    <row r="10" spans="3:9" x14ac:dyDescent="0.25">
      <c r="C10" s="2" t="s">
        <v>37</v>
      </c>
      <c r="D10" s="2">
        <f>'Req. Materia prima'!C10</f>
        <v>15200</v>
      </c>
      <c r="E10" s="2">
        <f>'Req. Materia prima'!D10</f>
        <v>7600</v>
      </c>
      <c r="F10" s="2">
        <f>'Req. Materia prima'!E10</f>
        <v>16000</v>
      </c>
      <c r="G10" s="2">
        <f>'Req. Materia prima'!F10</f>
        <v>8000</v>
      </c>
      <c r="H10" s="2">
        <f>SUM(D10:G10)</f>
        <v>46800</v>
      </c>
    </row>
    <row r="11" spans="3:9" x14ac:dyDescent="0.25">
      <c r="C11" s="2" t="s">
        <v>29</v>
      </c>
      <c r="D11" s="2">
        <v>3000</v>
      </c>
      <c r="E11" s="2">
        <v>1000</v>
      </c>
      <c r="F11" s="2">
        <v>3000</v>
      </c>
      <c r="G11" s="2">
        <v>1000</v>
      </c>
      <c r="H11" s="2">
        <f t="shared" ref="H11:H16" si="0">SUM(D11:G11)</f>
        <v>8000</v>
      </c>
    </row>
    <row r="12" spans="3:9" x14ac:dyDescent="0.25">
      <c r="C12" s="2" t="s">
        <v>30</v>
      </c>
      <c r="D12" s="2">
        <f>D11+D10</f>
        <v>18200</v>
      </c>
      <c r="E12" s="2">
        <f t="shared" ref="E12:G12" si="1">E11+E10</f>
        <v>8600</v>
      </c>
      <c r="F12" s="2">
        <f t="shared" si="1"/>
        <v>19000</v>
      </c>
      <c r="G12" s="2">
        <f t="shared" si="1"/>
        <v>9000</v>
      </c>
      <c r="H12" s="2">
        <f t="shared" si="0"/>
        <v>54800</v>
      </c>
    </row>
    <row r="13" spans="3:9" x14ac:dyDescent="0.25">
      <c r="C13" s="2" t="s">
        <v>31</v>
      </c>
      <c r="D13" s="2">
        <v>4000</v>
      </c>
      <c r="E13" s="2">
        <v>2500</v>
      </c>
      <c r="F13" s="2">
        <f>D11</f>
        <v>3000</v>
      </c>
      <c r="G13" s="2">
        <f>E11</f>
        <v>1000</v>
      </c>
      <c r="H13" s="2">
        <f t="shared" si="0"/>
        <v>10500</v>
      </c>
    </row>
    <row r="14" spans="3:9" x14ac:dyDescent="0.25">
      <c r="C14" s="2" t="s">
        <v>34</v>
      </c>
      <c r="D14" s="2">
        <f>D12-D13</f>
        <v>14200</v>
      </c>
      <c r="E14" s="2">
        <f t="shared" ref="E14:G14" si="2">E12-E13</f>
        <v>6100</v>
      </c>
      <c r="F14" s="2">
        <f t="shared" si="2"/>
        <v>16000</v>
      </c>
      <c r="G14" s="2">
        <f t="shared" si="2"/>
        <v>8000</v>
      </c>
      <c r="H14" s="2">
        <f t="shared" si="0"/>
        <v>44300</v>
      </c>
    </row>
    <row r="15" spans="3:9" x14ac:dyDescent="0.25">
      <c r="C15" s="2" t="s">
        <v>32</v>
      </c>
      <c r="D15" s="11">
        <f>20</f>
        <v>20</v>
      </c>
      <c r="E15" s="11">
        <v>40</v>
      </c>
      <c r="F15" s="11">
        <v>26</v>
      </c>
      <c r="G15" s="11">
        <v>50</v>
      </c>
      <c r="H15" s="11"/>
      <c r="I15" s="12"/>
    </row>
    <row r="16" spans="3:9" x14ac:dyDescent="0.25">
      <c r="C16" s="2" t="s">
        <v>33</v>
      </c>
      <c r="D16" s="11">
        <f>D15*D14</f>
        <v>284000</v>
      </c>
      <c r="E16" s="11">
        <f>E15*E14</f>
        <v>244000</v>
      </c>
      <c r="F16" s="11">
        <f>F15*F14</f>
        <v>416000</v>
      </c>
      <c r="G16" s="11">
        <f>G15*G14</f>
        <v>400000</v>
      </c>
      <c r="H16" s="11">
        <f t="shared" si="0"/>
        <v>1344000</v>
      </c>
    </row>
  </sheetData>
  <mergeCells count="4">
    <mergeCell ref="D8:E8"/>
    <mergeCell ref="F8:G8"/>
    <mergeCell ref="C4:H4"/>
    <mergeCell ref="C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6"/>
  <sheetViews>
    <sheetView workbookViewId="0">
      <selection activeCell="D23" sqref="D23"/>
    </sheetView>
  </sheetViews>
  <sheetFormatPr baseColWidth="10" defaultRowHeight="15" x14ac:dyDescent="0.25"/>
  <cols>
    <col min="3" max="3" width="49.42578125" bestFit="1" customWidth="1"/>
    <col min="4" max="4" width="12.5703125" bestFit="1" customWidth="1"/>
    <col min="5" max="5" width="14.140625" bestFit="1" customWidth="1"/>
    <col min="6" max="6" width="15" bestFit="1" customWidth="1"/>
    <col min="7" max="7" width="12.5703125" bestFit="1" customWidth="1"/>
    <col min="8" max="8" width="14.140625" bestFit="1" customWidth="1"/>
  </cols>
  <sheetData>
    <row r="4" spans="3:8" x14ac:dyDescent="0.25">
      <c r="C4" s="49" t="s">
        <v>9</v>
      </c>
      <c r="D4" s="49"/>
      <c r="E4" s="49"/>
      <c r="F4" s="49"/>
      <c r="G4" s="49"/>
      <c r="H4" s="49"/>
    </row>
    <row r="6" spans="3:8" x14ac:dyDescent="0.25">
      <c r="C6" s="49" t="s">
        <v>38</v>
      </c>
      <c r="D6" s="49"/>
      <c r="E6" s="49"/>
      <c r="F6" s="49"/>
      <c r="G6" s="49"/>
      <c r="H6" s="49"/>
    </row>
    <row r="8" spans="3:8" x14ac:dyDescent="0.25">
      <c r="D8" s="9" t="s">
        <v>44</v>
      </c>
      <c r="E8" s="9" t="s">
        <v>46</v>
      </c>
      <c r="F8" s="18" t="s">
        <v>47</v>
      </c>
      <c r="G8" s="17"/>
      <c r="H8" s="15"/>
    </row>
    <row r="9" spans="3:8" x14ac:dyDescent="0.25">
      <c r="D9" s="20" t="s">
        <v>45</v>
      </c>
      <c r="E9" s="20" t="s">
        <v>45</v>
      </c>
      <c r="F9" s="19" t="s">
        <v>48</v>
      </c>
      <c r="G9" s="16"/>
      <c r="H9" s="15"/>
    </row>
    <row r="10" spans="3:8" x14ac:dyDescent="0.25">
      <c r="C10" s="2" t="s">
        <v>39</v>
      </c>
      <c r="D10" s="2">
        <f>'U. A. Prod'!C12*4</f>
        <v>8400</v>
      </c>
      <c r="E10" s="2">
        <f>'U. A. Prod'!E12*4</f>
        <v>8000</v>
      </c>
      <c r="F10" s="2"/>
      <c r="G10" s="13"/>
      <c r="H10" s="13"/>
    </row>
    <row r="11" spans="3:8" x14ac:dyDescent="0.25">
      <c r="C11" s="2" t="s">
        <v>40</v>
      </c>
      <c r="D11" s="2">
        <f>'U. A. Prod'!D12*4</f>
        <v>11000</v>
      </c>
      <c r="E11" s="2">
        <f>'U. A. Prod'!F12*4</f>
        <v>12000</v>
      </c>
      <c r="F11" s="2"/>
      <c r="G11" s="13"/>
      <c r="H11" s="13"/>
    </row>
    <row r="12" spans="3:8" x14ac:dyDescent="0.25">
      <c r="C12" s="2" t="s">
        <v>41</v>
      </c>
      <c r="D12" s="2">
        <f>D11+D10</f>
        <v>19400</v>
      </c>
      <c r="E12" s="2">
        <f>E11+E10</f>
        <v>20000</v>
      </c>
      <c r="F12" s="2">
        <f>D12+E12</f>
        <v>39400</v>
      </c>
      <c r="G12" s="13"/>
      <c r="H12" s="13"/>
    </row>
    <row r="13" spans="3:8" x14ac:dyDescent="0.25">
      <c r="C13" s="2" t="s">
        <v>42</v>
      </c>
      <c r="D13" s="11">
        <v>50</v>
      </c>
      <c r="E13" s="11">
        <v>60</v>
      </c>
      <c r="F13" s="2"/>
      <c r="G13" s="13"/>
      <c r="H13" s="13"/>
    </row>
    <row r="14" spans="3:8" x14ac:dyDescent="0.25">
      <c r="C14" s="2" t="s">
        <v>43</v>
      </c>
      <c r="D14" s="11">
        <f>D13*D12</f>
        <v>970000</v>
      </c>
      <c r="E14" s="11">
        <f>E13*E12</f>
        <v>1200000</v>
      </c>
      <c r="F14" s="21">
        <f>E14+D14</f>
        <v>2170000</v>
      </c>
      <c r="G14" s="13"/>
      <c r="H14" s="13"/>
    </row>
    <row r="15" spans="3:8" x14ac:dyDescent="0.25">
      <c r="C15" s="13"/>
      <c r="D15" s="14"/>
      <c r="E15" s="14"/>
      <c r="F15" s="14"/>
      <c r="G15" s="14"/>
      <c r="H15" s="14"/>
    </row>
    <row r="16" spans="3:8" x14ac:dyDescent="0.25">
      <c r="C16" s="13"/>
      <c r="D16" s="14"/>
      <c r="E16" s="14"/>
      <c r="F16" s="14"/>
      <c r="G16" s="14"/>
      <c r="H16" s="14"/>
    </row>
  </sheetData>
  <mergeCells count="2">
    <mergeCell ref="C4:H4"/>
    <mergeCell ref="C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I12" sqref="I12"/>
    </sheetView>
  </sheetViews>
  <sheetFormatPr baseColWidth="10" defaultRowHeight="15" x14ac:dyDescent="0.25"/>
  <cols>
    <col min="3" max="3" width="7.28515625" customWidth="1"/>
    <col min="4" max="4" width="30.5703125" customWidth="1"/>
    <col min="5" max="5" width="14.140625" bestFit="1" customWidth="1"/>
    <col min="6" max="6" width="17.42578125" customWidth="1"/>
    <col min="7" max="7" width="21" customWidth="1"/>
  </cols>
  <sheetData>
    <row r="3" spans="3:9" x14ac:dyDescent="0.25">
      <c r="C3" s="49" t="s">
        <v>9</v>
      </c>
      <c r="D3" s="49"/>
      <c r="E3" s="49"/>
      <c r="F3" s="49"/>
      <c r="G3" s="49"/>
      <c r="H3" s="49"/>
      <c r="I3" s="49"/>
    </row>
    <row r="5" spans="3:9" x14ac:dyDescent="0.25">
      <c r="C5" s="49" t="s">
        <v>49</v>
      </c>
      <c r="D5" s="49"/>
      <c r="E5" s="49"/>
      <c r="F5" s="49"/>
      <c r="G5" s="49"/>
      <c r="H5" s="49"/>
      <c r="I5" s="49"/>
    </row>
    <row r="7" spans="3:9" x14ac:dyDescent="0.25">
      <c r="F7" s="9" t="s">
        <v>44</v>
      </c>
      <c r="G7" s="9" t="s">
        <v>46</v>
      </c>
      <c r="H7" s="17"/>
      <c r="I7" s="12">
        <f>E16/'Mano de obra'!F12</f>
        <v>40</v>
      </c>
    </row>
    <row r="8" spans="3:9" x14ac:dyDescent="0.25">
      <c r="F8" s="20" t="s">
        <v>45</v>
      </c>
      <c r="G8" s="20" t="s">
        <v>45</v>
      </c>
      <c r="H8" s="16"/>
      <c r="I8" s="15"/>
    </row>
    <row r="9" spans="3:9" x14ac:dyDescent="0.25">
      <c r="D9" s="2" t="s">
        <v>50</v>
      </c>
      <c r="E9" s="11">
        <v>100000</v>
      </c>
      <c r="F9" s="2"/>
      <c r="G9" s="2"/>
      <c r="H9" s="13"/>
      <c r="I9" s="13"/>
    </row>
    <row r="10" spans="3:9" x14ac:dyDescent="0.25">
      <c r="D10" s="2" t="s">
        <v>51</v>
      </c>
      <c r="E10" s="11">
        <v>700000</v>
      </c>
      <c r="F10" s="2"/>
      <c r="G10" s="2"/>
      <c r="H10" s="13"/>
      <c r="I10" s="13"/>
    </row>
    <row r="11" spans="3:9" x14ac:dyDescent="0.25">
      <c r="D11" s="2" t="s">
        <v>52</v>
      </c>
      <c r="E11" s="11">
        <v>400000</v>
      </c>
      <c r="F11" s="2"/>
      <c r="G11" s="2"/>
      <c r="H11" s="13"/>
      <c r="I11" s="13"/>
    </row>
    <row r="12" spans="3:9" x14ac:dyDescent="0.25">
      <c r="D12" s="2" t="s">
        <v>53</v>
      </c>
      <c r="E12" s="11">
        <v>116000</v>
      </c>
      <c r="F12" s="11"/>
      <c r="G12" s="11"/>
      <c r="H12" s="13"/>
      <c r="I12" s="13"/>
    </row>
    <row r="13" spans="3:9" x14ac:dyDescent="0.25">
      <c r="D13" s="2" t="s">
        <v>54</v>
      </c>
      <c r="E13" s="11">
        <v>60000</v>
      </c>
      <c r="F13" s="11"/>
      <c r="G13" s="11"/>
      <c r="H13" s="13"/>
      <c r="I13" s="13"/>
    </row>
    <row r="14" spans="3:9" x14ac:dyDescent="0.25">
      <c r="D14" s="2" t="s">
        <v>55</v>
      </c>
      <c r="E14" s="11">
        <v>200000</v>
      </c>
      <c r="F14" s="11"/>
      <c r="G14" s="11"/>
    </row>
    <row r="15" spans="3:9" x14ac:dyDescent="0.25">
      <c r="D15" s="52" t="s">
        <v>56</v>
      </c>
    </row>
    <row r="16" spans="3:9" x14ac:dyDescent="0.25">
      <c r="D16" s="53"/>
      <c r="E16" s="22">
        <f>SUM(E9:E14)</f>
        <v>1576000</v>
      </c>
      <c r="F16" s="12">
        <f>'Mano de obra'!D12*GIF!I7</f>
        <v>776000</v>
      </c>
      <c r="G16" s="12">
        <f>I7*'Mano de obra'!E12</f>
        <v>800000</v>
      </c>
    </row>
    <row r="17" spans="4:4" x14ac:dyDescent="0.25">
      <c r="D17" s="53"/>
    </row>
  </sheetData>
  <mergeCells count="3">
    <mergeCell ref="C3:I3"/>
    <mergeCell ref="C5:I5"/>
    <mergeCell ref="D15:D17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16"/>
  <sheetViews>
    <sheetView workbookViewId="0">
      <selection activeCell="E27" sqref="E27"/>
    </sheetView>
  </sheetViews>
  <sheetFormatPr baseColWidth="10" defaultRowHeight="15" x14ac:dyDescent="0.25"/>
  <cols>
    <col min="4" max="4" width="32.140625" bestFit="1" customWidth="1"/>
    <col min="5" max="5" width="16.85546875" customWidth="1"/>
    <col min="6" max="6" width="18.7109375" customWidth="1"/>
    <col min="7" max="7" width="18" customWidth="1"/>
  </cols>
  <sheetData>
    <row r="3" spans="4:9" x14ac:dyDescent="0.25">
      <c r="D3" s="49" t="s">
        <v>9</v>
      </c>
      <c r="E3" s="49"/>
      <c r="F3" s="49"/>
      <c r="G3" s="49"/>
      <c r="H3" s="49"/>
      <c r="I3" s="49"/>
    </row>
    <row r="5" spans="4:9" x14ac:dyDescent="0.25">
      <c r="D5" s="49" t="s">
        <v>64</v>
      </c>
      <c r="E5" s="49"/>
      <c r="F5" s="49"/>
      <c r="G5" s="49"/>
      <c r="H5" s="49"/>
      <c r="I5" s="49"/>
    </row>
    <row r="7" spans="4:9" x14ac:dyDescent="0.25">
      <c r="E7" s="34" t="s">
        <v>44</v>
      </c>
      <c r="F7" s="9" t="s">
        <v>46</v>
      </c>
      <c r="G7" s="1"/>
    </row>
    <row r="8" spans="4:9" x14ac:dyDescent="0.25">
      <c r="E8" s="35" t="s">
        <v>45</v>
      </c>
      <c r="F8" s="20" t="s">
        <v>45</v>
      </c>
      <c r="G8" s="33" t="s">
        <v>90</v>
      </c>
    </row>
    <row r="9" spans="4:9" x14ac:dyDescent="0.25">
      <c r="D9" s="2" t="s">
        <v>57</v>
      </c>
      <c r="E9" s="54"/>
      <c r="F9" s="55"/>
      <c r="G9" s="11">
        <f>'Balance general'!H10</f>
        <v>296000</v>
      </c>
    </row>
    <row r="10" spans="4:9" x14ac:dyDescent="0.25">
      <c r="D10" s="2" t="s">
        <v>58</v>
      </c>
      <c r="E10" s="11">
        <f>'Req. Materia prima'!C12+'Req. Materia prima'!D12</f>
        <v>608000</v>
      </c>
      <c r="F10" s="11">
        <f>'Req. Materia prima'!E12+'Req. Materia prima'!F12</f>
        <v>816000</v>
      </c>
      <c r="G10" s="11">
        <f>F10+E10</f>
        <v>1424000</v>
      </c>
    </row>
    <row r="11" spans="4:9" x14ac:dyDescent="0.25">
      <c r="D11" s="2" t="s">
        <v>48</v>
      </c>
      <c r="E11" s="11">
        <f>'Mano de obra'!D14</f>
        <v>970000</v>
      </c>
      <c r="F11" s="11">
        <f>'Mano de obra'!E14</f>
        <v>1200000</v>
      </c>
      <c r="G11" s="11">
        <f t="shared" ref="G11:G12" si="0">F11+E11</f>
        <v>2170000</v>
      </c>
    </row>
    <row r="12" spans="4:9" x14ac:dyDescent="0.25">
      <c r="D12" s="2" t="s">
        <v>59</v>
      </c>
      <c r="E12" s="21">
        <f>GIF!F16</f>
        <v>776000</v>
      </c>
      <c r="F12" s="21">
        <f>GIF!G16</f>
        <v>800000</v>
      </c>
      <c r="G12" s="11">
        <f t="shared" si="0"/>
        <v>1576000</v>
      </c>
    </row>
    <row r="13" spans="4:9" x14ac:dyDescent="0.25">
      <c r="D13" s="2" t="s">
        <v>60</v>
      </c>
      <c r="E13" s="21">
        <f t="shared" ref="E13:F13" si="1">SUM(E10:E12)</f>
        <v>2354000</v>
      </c>
      <c r="F13" s="21">
        <f t="shared" si="1"/>
        <v>2816000</v>
      </c>
      <c r="G13" s="21">
        <f>SUM(G10:G12)</f>
        <v>5170000</v>
      </c>
    </row>
    <row r="14" spans="4:9" x14ac:dyDescent="0.25">
      <c r="D14" s="2" t="s">
        <v>61</v>
      </c>
      <c r="G14" s="21">
        <f>G9+G13</f>
        <v>5466000</v>
      </c>
    </row>
    <row r="15" spans="4:9" x14ac:dyDescent="0.25">
      <c r="D15" s="2" t="s">
        <v>62</v>
      </c>
      <c r="G15" s="11">
        <f>241200</f>
        <v>241200</v>
      </c>
    </row>
    <row r="16" spans="4:9" x14ac:dyDescent="0.25">
      <c r="D16" s="37" t="s">
        <v>63</v>
      </c>
      <c r="G16" s="36">
        <f>G14-G15</f>
        <v>5224800</v>
      </c>
    </row>
  </sheetData>
  <mergeCells count="3">
    <mergeCell ref="D3:I3"/>
    <mergeCell ref="D5:I5"/>
    <mergeCell ref="E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>
      <selection activeCell="A10" sqref="A10"/>
    </sheetView>
  </sheetViews>
  <sheetFormatPr baseColWidth="10" defaultRowHeight="15" x14ac:dyDescent="0.25"/>
  <sheetData>
    <row r="2" spans="2:1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x14ac:dyDescent="0.25">
      <c r="B3" s="23"/>
      <c r="C3" s="24"/>
      <c r="D3" s="24"/>
      <c r="E3" s="24" t="s">
        <v>65</v>
      </c>
      <c r="F3" s="24"/>
      <c r="G3" s="24"/>
      <c r="H3" s="24"/>
      <c r="I3" s="24"/>
      <c r="J3" s="24"/>
      <c r="K3" s="23"/>
    </row>
    <row r="4" spans="2:11" x14ac:dyDescent="0.25">
      <c r="B4" s="23"/>
      <c r="C4" s="24"/>
      <c r="D4" s="24" t="s">
        <v>66</v>
      </c>
      <c r="E4" s="24"/>
      <c r="F4" s="24"/>
      <c r="G4" s="24"/>
      <c r="H4" s="24"/>
      <c r="I4" s="24"/>
      <c r="J4" s="24"/>
      <c r="K4" s="23"/>
    </row>
    <row r="5" spans="2:11" x14ac:dyDescent="0.25">
      <c r="B5" s="23"/>
      <c r="C5" s="24"/>
      <c r="D5" s="24"/>
      <c r="E5" s="24"/>
      <c r="F5" s="24"/>
      <c r="G5" s="24"/>
      <c r="H5" s="24"/>
      <c r="I5" s="24"/>
      <c r="J5" s="24"/>
      <c r="K5" s="23"/>
    </row>
    <row r="6" spans="2:11" x14ac:dyDescent="0.25">
      <c r="B6" s="23"/>
      <c r="C6" s="24" t="s">
        <v>67</v>
      </c>
      <c r="D6" s="24"/>
      <c r="E6" s="24"/>
      <c r="F6" s="24"/>
      <c r="G6" s="24"/>
      <c r="H6" s="24"/>
      <c r="I6" s="24"/>
      <c r="J6" s="24"/>
      <c r="K6" s="23"/>
    </row>
    <row r="7" spans="2:11" x14ac:dyDescent="0.25">
      <c r="B7" s="23"/>
      <c r="C7" s="24" t="s">
        <v>68</v>
      </c>
      <c r="D7" s="24"/>
      <c r="E7" s="24"/>
      <c r="F7" s="24"/>
      <c r="G7" s="24"/>
      <c r="H7" s="24"/>
      <c r="I7" s="24"/>
      <c r="J7" s="24"/>
      <c r="K7" s="23"/>
    </row>
    <row r="8" spans="2:11" x14ac:dyDescent="0.25">
      <c r="B8" s="23"/>
      <c r="C8" s="24" t="s">
        <v>69</v>
      </c>
      <c r="D8" s="24"/>
      <c r="E8" s="24"/>
      <c r="F8" s="24"/>
      <c r="G8" s="24"/>
      <c r="H8" s="25">
        <v>50000</v>
      </c>
      <c r="I8" s="25"/>
      <c r="J8" s="24"/>
      <c r="K8" s="23"/>
    </row>
    <row r="9" spans="2:11" x14ac:dyDescent="0.25">
      <c r="B9" s="23"/>
      <c r="C9" s="24" t="s">
        <v>70</v>
      </c>
      <c r="D9" s="24"/>
      <c r="E9" s="24"/>
      <c r="F9" s="24"/>
      <c r="G9" s="24"/>
      <c r="H9" s="25">
        <v>86000</v>
      </c>
      <c r="I9" s="25"/>
      <c r="J9" s="24"/>
      <c r="K9" s="23"/>
    </row>
    <row r="10" spans="2:11" x14ac:dyDescent="0.25">
      <c r="B10" s="23"/>
      <c r="C10" s="24" t="s">
        <v>71</v>
      </c>
      <c r="D10" s="24"/>
      <c r="E10" s="24"/>
      <c r="F10" s="24"/>
      <c r="G10" s="24"/>
      <c r="H10" s="25">
        <v>296000</v>
      </c>
      <c r="I10" s="25"/>
      <c r="J10" s="24"/>
      <c r="K10" s="23"/>
    </row>
    <row r="11" spans="2:11" x14ac:dyDescent="0.25">
      <c r="B11" s="23"/>
      <c r="C11" s="26" t="s">
        <v>72</v>
      </c>
      <c r="D11" s="24"/>
      <c r="E11" s="24"/>
      <c r="F11" s="24"/>
      <c r="G11" s="24"/>
      <c r="H11" s="27">
        <v>180000</v>
      </c>
      <c r="I11" s="28"/>
      <c r="J11" s="24"/>
      <c r="K11" s="23"/>
    </row>
    <row r="12" spans="2:11" x14ac:dyDescent="0.25">
      <c r="B12" s="23"/>
      <c r="C12" s="24" t="s">
        <v>73</v>
      </c>
      <c r="D12" s="24"/>
      <c r="E12" s="24"/>
      <c r="F12" s="24"/>
      <c r="G12" s="24"/>
      <c r="H12" s="24"/>
      <c r="I12" s="24"/>
      <c r="J12" s="29">
        <v>612000</v>
      </c>
      <c r="K12" s="23"/>
    </row>
    <row r="13" spans="2:11" x14ac:dyDescent="0.25">
      <c r="B13" s="23"/>
      <c r="C13" s="24"/>
      <c r="D13" s="24"/>
      <c r="E13" s="24"/>
      <c r="F13" s="24"/>
      <c r="G13" s="24"/>
      <c r="H13" s="24"/>
      <c r="I13" s="24"/>
      <c r="J13" s="24"/>
      <c r="K13" s="23"/>
    </row>
    <row r="14" spans="2:11" x14ac:dyDescent="0.25">
      <c r="B14" s="23"/>
      <c r="C14" s="24" t="s">
        <v>74</v>
      </c>
      <c r="D14" s="24"/>
      <c r="E14" s="24"/>
      <c r="F14" s="24"/>
      <c r="G14" s="24"/>
      <c r="H14" s="24"/>
      <c r="I14" s="24"/>
      <c r="J14" s="24"/>
      <c r="K14" s="23"/>
    </row>
    <row r="15" spans="2:11" x14ac:dyDescent="0.25">
      <c r="B15" s="23"/>
      <c r="C15" s="24" t="s">
        <v>75</v>
      </c>
      <c r="D15" s="24"/>
      <c r="E15" s="24"/>
      <c r="F15" s="24"/>
      <c r="G15" s="24"/>
      <c r="H15" s="28">
        <v>214000</v>
      </c>
      <c r="I15" s="28"/>
      <c r="J15" s="24"/>
      <c r="K15" s="23"/>
    </row>
    <row r="16" spans="2:11" x14ac:dyDescent="0.25">
      <c r="B16" s="23"/>
      <c r="C16" s="24" t="s">
        <v>76</v>
      </c>
      <c r="D16" s="24"/>
      <c r="E16" s="24"/>
      <c r="F16" s="25">
        <v>1100000</v>
      </c>
      <c r="G16" s="25"/>
      <c r="H16" s="24"/>
      <c r="I16" s="24"/>
      <c r="J16" s="24"/>
      <c r="K16" s="23"/>
    </row>
    <row r="17" spans="2:11" x14ac:dyDescent="0.25">
      <c r="B17" s="23"/>
      <c r="C17" s="24" t="s">
        <v>77</v>
      </c>
      <c r="D17" s="24"/>
      <c r="E17" s="24"/>
      <c r="F17" s="27">
        <v>400000</v>
      </c>
      <c r="G17" s="28"/>
      <c r="H17" s="30">
        <v>700000</v>
      </c>
      <c r="I17" s="31"/>
      <c r="J17" s="24"/>
      <c r="K17" s="23"/>
    </row>
    <row r="18" spans="2:11" x14ac:dyDescent="0.25">
      <c r="B18" s="23"/>
      <c r="C18" s="24" t="s">
        <v>78</v>
      </c>
      <c r="D18" s="24"/>
      <c r="E18" s="24"/>
      <c r="F18" s="24"/>
      <c r="G18" s="24"/>
      <c r="H18" s="24"/>
      <c r="I18" s="24"/>
      <c r="J18" s="30">
        <v>914000</v>
      </c>
      <c r="K18" s="23"/>
    </row>
    <row r="19" spans="2:11" ht="15.75" thickBot="1" x14ac:dyDescent="0.3">
      <c r="B19" s="23"/>
      <c r="C19" s="24" t="s">
        <v>79</v>
      </c>
      <c r="D19" s="24"/>
      <c r="E19" s="24"/>
      <c r="F19" s="24"/>
      <c r="G19" s="24"/>
      <c r="H19" s="24"/>
      <c r="I19" s="24"/>
      <c r="J19" s="32">
        <v>1526000</v>
      </c>
      <c r="K19" s="23"/>
    </row>
    <row r="20" spans="2:11" ht="15.75" thickTop="1" x14ac:dyDescent="0.25">
      <c r="B20" s="23"/>
      <c r="C20" s="24"/>
      <c r="D20" s="24"/>
      <c r="E20" s="24"/>
      <c r="F20" s="24"/>
      <c r="G20" s="24"/>
      <c r="H20" s="24"/>
      <c r="I20" s="24"/>
      <c r="J20" s="24"/>
      <c r="K20" s="23"/>
    </row>
    <row r="21" spans="2:11" x14ac:dyDescent="0.25">
      <c r="B21" s="23"/>
      <c r="C21" s="24" t="s">
        <v>80</v>
      </c>
      <c r="D21" s="24"/>
      <c r="E21" s="24"/>
      <c r="F21" s="24"/>
      <c r="G21" s="24"/>
      <c r="H21" s="24"/>
      <c r="I21" s="24"/>
      <c r="J21" s="24"/>
      <c r="K21" s="23"/>
    </row>
    <row r="22" spans="2:11" x14ac:dyDescent="0.25">
      <c r="B22" s="23"/>
      <c r="C22" s="24" t="s">
        <v>81</v>
      </c>
      <c r="D22" s="24"/>
      <c r="E22" s="24"/>
      <c r="F22" s="24"/>
      <c r="G22" s="24"/>
      <c r="H22" s="24"/>
      <c r="I22" s="24"/>
      <c r="J22" s="24"/>
      <c r="K22" s="23"/>
    </row>
    <row r="23" spans="2:11" x14ac:dyDescent="0.25">
      <c r="B23" s="23"/>
      <c r="C23" s="24" t="s">
        <v>82</v>
      </c>
      <c r="D23" s="24"/>
      <c r="E23" s="24"/>
      <c r="F23" s="24"/>
      <c r="G23" s="24"/>
      <c r="H23" s="28">
        <v>240000</v>
      </c>
      <c r="I23" s="24"/>
      <c r="J23" s="24"/>
      <c r="K23" s="23"/>
    </row>
    <row r="24" spans="2:11" x14ac:dyDescent="0.25">
      <c r="B24" s="23"/>
      <c r="C24" s="24" t="s">
        <v>83</v>
      </c>
      <c r="D24" s="24"/>
      <c r="E24" s="24"/>
      <c r="F24" s="24"/>
      <c r="G24" s="24"/>
      <c r="H24" s="27">
        <v>180000</v>
      </c>
      <c r="I24" s="24"/>
      <c r="J24" s="24"/>
      <c r="K24" s="23"/>
    </row>
    <row r="25" spans="2:11" x14ac:dyDescent="0.25">
      <c r="B25" s="23"/>
      <c r="C25" s="24" t="s">
        <v>84</v>
      </c>
      <c r="D25" s="24"/>
      <c r="E25" s="24"/>
      <c r="F25" s="24"/>
      <c r="G25" s="24"/>
      <c r="H25" s="24"/>
      <c r="I25" s="24"/>
      <c r="J25" s="28">
        <v>420000</v>
      </c>
      <c r="K25" s="23"/>
    </row>
    <row r="26" spans="2:11" x14ac:dyDescent="0.25">
      <c r="B26" s="23"/>
      <c r="C26" s="24"/>
      <c r="D26" s="24"/>
      <c r="E26" s="24"/>
      <c r="F26" s="24"/>
      <c r="G26" s="24"/>
      <c r="H26" s="24"/>
      <c r="I26" s="24"/>
      <c r="J26" s="24"/>
      <c r="K26" s="23"/>
    </row>
    <row r="27" spans="2:11" x14ac:dyDescent="0.25">
      <c r="B27" s="23"/>
      <c r="C27" s="24" t="s">
        <v>85</v>
      </c>
      <c r="D27" s="24"/>
      <c r="E27" s="24"/>
      <c r="F27" s="24"/>
      <c r="G27" s="24"/>
      <c r="H27" s="24"/>
      <c r="I27" s="24"/>
      <c r="J27" s="24"/>
      <c r="K27" s="23"/>
    </row>
    <row r="28" spans="2:11" x14ac:dyDescent="0.25">
      <c r="B28" s="23"/>
      <c r="C28" s="24" t="s">
        <v>86</v>
      </c>
      <c r="D28" s="24"/>
      <c r="E28" s="24"/>
      <c r="F28" s="24"/>
      <c r="G28" s="24"/>
      <c r="H28" s="28">
        <v>900000</v>
      </c>
      <c r="I28" s="24"/>
      <c r="J28" s="24"/>
      <c r="K28" s="23"/>
    </row>
    <row r="29" spans="2:11" x14ac:dyDescent="0.25">
      <c r="B29" s="23"/>
      <c r="C29" s="24" t="s">
        <v>87</v>
      </c>
      <c r="D29" s="24"/>
      <c r="E29" s="24"/>
      <c r="F29" s="24"/>
      <c r="G29" s="24"/>
      <c r="H29" s="27">
        <v>206000</v>
      </c>
      <c r="I29" s="24"/>
      <c r="J29" s="24"/>
      <c r="K29" s="23"/>
    </row>
    <row r="30" spans="2:11" x14ac:dyDescent="0.25">
      <c r="B30" s="23"/>
      <c r="C30" s="24" t="s">
        <v>88</v>
      </c>
      <c r="D30" s="24"/>
      <c r="E30" s="24"/>
      <c r="F30" s="24"/>
      <c r="G30" s="24"/>
      <c r="H30" s="24"/>
      <c r="I30" s="24"/>
      <c r="J30" s="30">
        <v>1106000</v>
      </c>
      <c r="K30" s="23"/>
    </row>
    <row r="31" spans="2:11" ht="15.75" thickBot="1" x14ac:dyDescent="0.3">
      <c r="B31" s="23"/>
      <c r="C31" s="24" t="s">
        <v>89</v>
      </c>
      <c r="D31" s="24"/>
      <c r="E31" s="24"/>
      <c r="F31" s="24"/>
      <c r="G31" s="24"/>
      <c r="H31" s="24"/>
      <c r="I31" s="24"/>
      <c r="J31" s="32">
        <v>1526000</v>
      </c>
      <c r="K31" s="23"/>
    </row>
    <row r="32" spans="2:11" ht="15.75" thickTop="1" x14ac:dyDescent="0.25">
      <c r="B32" s="23"/>
      <c r="C32" s="24"/>
      <c r="D32" s="24"/>
      <c r="E32" s="24"/>
      <c r="F32" s="24"/>
      <c r="G32" s="24"/>
      <c r="H32" s="24"/>
      <c r="I32" s="24"/>
      <c r="J32" s="24"/>
      <c r="K32" s="23"/>
    </row>
    <row r="33" spans="2:1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D13" sqref="D13"/>
    </sheetView>
  </sheetViews>
  <sheetFormatPr baseColWidth="10" defaultRowHeight="15" x14ac:dyDescent="0.25"/>
  <cols>
    <col min="2" max="2" width="19" bestFit="1" customWidth="1"/>
    <col min="3" max="3" width="14.5703125" customWidth="1"/>
  </cols>
  <sheetData>
    <row r="2" spans="2:3" x14ac:dyDescent="0.25">
      <c r="B2" s="49" t="s">
        <v>104</v>
      </c>
      <c r="C2" s="49"/>
    </row>
    <row r="3" spans="2:3" x14ac:dyDescent="0.25">
      <c r="B3" t="s">
        <v>105</v>
      </c>
      <c r="C3" s="22">
        <v>150000</v>
      </c>
    </row>
    <row r="4" spans="2:3" x14ac:dyDescent="0.25">
      <c r="B4" t="s">
        <v>106</v>
      </c>
      <c r="C4" s="22">
        <v>60000</v>
      </c>
    </row>
    <row r="5" spans="2:3" x14ac:dyDescent="0.25">
      <c r="B5" t="s">
        <v>107</v>
      </c>
      <c r="C5" s="22">
        <v>300000</v>
      </c>
    </row>
    <row r="6" spans="2:3" x14ac:dyDescent="0.25">
      <c r="B6" t="s">
        <v>54</v>
      </c>
      <c r="C6" s="22">
        <v>60000</v>
      </c>
    </row>
    <row r="7" spans="2:3" x14ac:dyDescent="0.25">
      <c r="B7" t="s">
        <v>50</v>
      </c>
      <c r="C7" s="22">
        <v>50000</v>
      </c>
    </row>
    <row r="8" spans="2:3" x14ac:dyDescent="0.25">
      <c r="B8" t="s">
        <v>108</v>
      </c>
      <c r="C8" s="22">
        <v>30000</v>
      </c>
    </row>
    <row r="10" spans="2:3" x14ac:dyDescent="0.25">
      <c r="B10" t="s">
        <v>95</v>
      </c>
      <c r="C10" s="12">
        <f>SUM(C3:C8)</f>
        <v>650000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Ventas</vt:lpstr>
      <vt:lpstr>U. A. Prod</vt:lpstr>
      <vt:lpstr>Req. Materia prima</vt:lpstr>
      <vt:lpstr>Compras materia prima</vt:lpstr>
      <vt:lpstr>Mano de obra</vt:lpstr>
      <vt:lpstr>GIF</vt:lpstr>
      <vt:lpstr>EDO CTO</vt:lpstr>
      <vt:lpstr>Balance general</vt:lpstr>
      <vt:lpstr>Gastos de operación</vt:lpstr>
      <vt:lpstr>Estado de resultados</vt:lpstr>
      <vt:lpstr>Balance gral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E6206</dc:creator>
  <cp:lastModifiedBy>E6204</cp:lastModifiedBy>
  <dcterms:created xsi:type="dcterms:W3CDTF">2014-08-28T13:25:30Z</dcterms:created>
  <dcterms:modified xsi:type="dcterms:W3CDTF">2014-09-09T13:54:41Z</dcterms:modified>
</cp:coreProperties>
</file>